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monvoisin/Library/CloudStorage/GoogleDrive-l.monvoisin@kataba.fr/Drive partagés/Drive d'équipe KATABA/02 - Capsules/031 - M57 Agora/Rapports/"/>
    </mc:Choice>
  </mc:AlternateContent>
  <xr:revisionPtr revIDLastSave="0" documentId="8_{4BE7340B-CA46-8545-9BCE-99C327237390}" xr6:coauthVersionLast="47" xr6:coauthVersionMax="47" xr10:uidLastSave="{00000000-0000-0000-0000-000000000000}"/>
  <bookViews>
    <workbookView xWindow="30540" yWindow="-4400" windowWidth="30540" windowHeight="20500" xr2:uid="{165B1CAD-C991-444F-9099-B0373B0EA09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B28" i="1"/>
  <c r="G28" i="1" s="1"/>
  <c r="I66" i="1"/>
  <c r="C86" i="1"/>
  <c r="B19" i="1"/>
  <c r="B93" i="1"/>
  <c r="B18" i="1"/>
  <c r="B91" i="1"/>
  <c r="B20" i="1"/>
  <c r="B89" i="1"/>
  <c r="F89" i="1" s="1"/>
  <c r="C87" i="1"/>
  <c r="D14" i="1"/>
  <c r="D69" i="1"/>
  <c r="D68" i="1"/>
  <c r="D67" i="1"/>
  <c r="B34" i="1"/>
  <c r="H52" i="1"/>
  <c r="G36" i="1"/>
  <c r="H39" i="1" s="1"/>
  <c r="H21" i="1"/>
  <c r="H23" i="1" s="1"/>
  <c r="G35" i="1"/>
  <c r="G39" i="1" s="1"/>
  <c r="D97" i="1"/>
  <c r="B97" i="1"/>
  <c r="G26" i="1"/>
  <c r="G31" i="1" s="1"/>
  <c r="B27" i="1"/>
  <c r="G27" i="1" s="1"/>
  <c r="G13" i="1"/>
  <c r="G42" i="1"/>
  <c r="G44" i="1"/>
  <c r="B46" i="1"/>
  <c r="G46" i="1" s="1"/>
  <c r="B43" i="1"/>
  <c r="G43" i="1" s="1"/>
  <c r="B45" i="1"/>
  <c r="G45" i="1" s="1"/>
  <c r="B96" i="1"/>
  <c r="E96" i="1" s="1"/>
  <c r="E94" i="1"/>
  <c r="F94" i="1" s="1"/>
  <c r="B90" i="1"/>
  <c r="B88" i="1"/>
  <c r="B15" i="1"/>
  <c r="G15" i="1" s="1"/>
  <c r="B14" i="1"/>
  <c r="G30" i="1" l="1"/>
  <c r="H31" i="1"/>
  <c r="F31" i="1" s="1"/>
  <c r="G29" i="1"/>
  <c r="G16" i="1"/>
  <c r="G50" i="1"/>
  <c r="G14" i="1"/>
  <c r="F59" i="1"/>
  <c r="F39" i="1"/>
  <c r="E97" i="1"/>
  <c r="G48" i="1"/>
  <c r="G47" i="1"/>
  <c r="G52" i="1" s="1"/>
  <c r="G51" i="1" s="1"/>
  <c r="B92" i="1"/>
  <c r="D93" i="1" s="1"/>
  <c r="G17" i="1" s="1"/>
  <c r="B95" i="1"/>
  <c r="F95" i="1" s="1"/>
  <c r="G8" i="1" l="1"/>
  <c r="G21" i="1"/>
  <c r="G23" i="1" s="1"/>
  <c r="F52" i="1"/>
  <c r="G22" i="1" l="1"/>
  <c r="F58" i="1"/>
  <c r="F21" i="1"/>
  <c r="F23" i="1" s="1"/>
  <c r="F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tc={A5B6E868-4EAF-E54C-807D-2D129B8B4CF7}</author>
    <author>tc={B8EF507F-2EEE-894A-A14A-B50159FAEDEA}</author>
    <author>tc={F50C39B7-8AAD-0040-A61F-679742EE1E4F}</author>
    <author>tc={0F3CFE25-3A3C-8E41-986A-8BA801DD2E65}</author>
    <author>tc={B610C561-3E4E-FC46-A336-AB2999929128}</author>
    <author>tc={F311730E-B44B-6F42-8E4B-B5B56709475B}</author>
    <author>tc={5573EE42-CF66-2B48-95EF-E1EC506461B8}</author>
  </authors>
  <commentList>
    <comment ref="G21" authorId="0" shapeId="0" xr:uid="{A5B6E868-4EAF-E54C-807D-2D129B8B4CF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Impact cumulé de la matière vierge</t>
      </text>
    </comment>
    <comment ref="B46" authorId="1" shapeId="0" xr:uid="{B8EF507F-2EEE-894A-A14A-B50159FAEDEA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Poids carbone de deux panneaux méla vierge
</t>
      </text>
    </comment>
    <comment ref="G46" authorId="2" shapeId="0" xr:uid="{F50C39B7-8AAD-0040-A61F-679742EE1E4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Poids carbone de 2 panneaux PS le Pavé (hypothèse le Pavé : -70%)</t>
      </text>
    </comment>
    <comment ref="D93" authorId="3" shapeId="0" xr:uid="{0F3CFE25-3A3C-8E41-986A-8BA801DD2E6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Empreinte carbone CP</t>
      </text>
    </comment>
    <comment ref="F94" authorId="4" shapeId="0" xr:uid="{B610C561-3E4E-FC46-A336-AB2999929128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Empreinte carbone Tissu rideaux
</t>
      </text>
    </comment>
    <comment ref="F95" authorId="5" shapeId="0" xr:uid="{F311730E-B44B-6F42-8E4B-B5B56709475B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Empreinte carbone Tissu galette
</t>
      </text>
    </comment>
    <comment ref="E96" authorId="6" shapeId="0" xr:uid="{5573EE42-CF66-2B48-95EF-E1EC506461B8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Empreinte tringle alu
</t>
      </text>
    </comment>
  </commentList>
</comments>
</file>

<file path=xl/sharedStrings.xml><?xml version="1.0" encoding="utf-8"?>
<sst xmlns="http://schemas.openxmlformats.org/spreadsheetml/2006/main" count="120" uniqueCount="90">
  <si>
    <t>bilan CO2 et Kg matière évité</t>
  </si>
  <si>
    <t>Structure gradin réemploi</t>
  </si>
  <si>
    <t xml:space="preserve">Structure gradin vierge </t>
  </si>
  <si>
    <t>Coussin</t>
  </si>
  <si>
    <t>Sol PVC</t>
  </si>
  <si>
    <t xml:space="preserve">Sol Moquette </t>
  </si>
  <si>
    <t>Nez de marche</t>
  </si>
  <si>
    <t>Plateau table PS</t>
  </si>
  <si>
    <t>densité carbone BdR</t>
  </si>
  <si>
    <t>taux de renouvellement sur 50 ans</t>
  </si>
  <si>
    <t>table basse moy.</t>
  </si>
  <si>
    <t xml:space="preserve">fauteuil auditorium </t>
  </si>
  <si>
    <t xml:space="preserve">bénéfice carbone </t>
  </si>
  <si>
    <t xml:space="preserve">surface tissu </t>
  </si>
  <si>
    <t>masse tissu</t>
  </si>
  <si>
    <t xml:space="preserve">Chili </t>
  </si>
  <si>
    <t xml:space="preserve">Noma </t>
  </si>
  <si>
    <t xml:space="preserve">Surface CP </t>
  </si>
  <si>
    <t>Masse CP</t>
  </si>
  <si>
    <t xml:space="preserve">volume mousse PU coussin </t>
  </si>
  <si>
    <t>masse mousse PU coussin</t>
  </si>
  <si>
    <t xml:space="preserve">Rail Alu </t>
  </si>
  <si>
    <t xml:space="preserve">Structure table basse réemploi </t>
  </si>
  <si>
    <t>Structure table basse vierge</t>
  </si>
  <si>
    <t>Structure table haute réemploi</t>
  </si>
  <si>
    <t>Structure table haute vierge</t>
  </si>
  <si>
    <t>Empreinte du neuf</t>
  </si>
  <si>
    <t>Empreinte produit Agora M57</t>
  </si>
  <si>
    <t>table basse M57</t>
  </si>
  <si>
    <t>table haute M57</t>
  </si>
  <si>
    <t>Assies M57</t>
  </si>
  <si>
    <t>Sol M57</t>
  </si>
  <si>
    <t xml:space="preserve">tissu panneau </t>
  </si>
  <si>
    <t>Panneau acoustique neuf</t>
  </si>
  <si>
    <t>Acoustique M57</t>
  </si>
  <si>
    <t>Tables M57</t>
  </si>
  <si>
    <t>Assies M57 total</t>
  </si>
  <si>
    <t xml:space="preserve">Masse de matière réemployé </t>
  </si>
  <si>
    <t>Dalle 60x60</t>
  </si>
  <si>
    <t>Bénéfice Global kg C02</t>
  </si>
  <si>
    <t xml:space="preserve">PET recyclé : </t>
  </si>
  <si>
    <t>Filament de polyester, inventaire partiellement agrégé</t>
  </si>
  <si>
    <t>Objet</t>
  </si>
  <si>
    <t xml:space="preserve">origine </t>
  </si>
  <si>
    <t>impact CO2</t>
  </si>
  <si>
    <t>Asie</t>
  </si>
  <si>
    <t xml:space="preserve">Asie </t>
  </si>
  <si>
    <t>Production de filament de polyester recyclé (recyclage mécanique), traitement de bouteilles post-consommation, inventaire partiellement agrégé</t>
  </si>
  <si>
    <t>440 g/ml</t>
  </si>
  <si>
    <t>470 g/ml</t>
  </si>
  <si>
    <t xml:space="preserve">Profilé Alu 50x50mm 1,5kg/m 3mm épaisseur </t>
  </si>
  <si>
    <t xml:space="preserve"> kg eq CO2 / kg</t>
  </si>
  <si>
    <t xml:space="preserve">Cornière Alu 15x15mm 1,5kg/m 1,5mm épaisseur </t>
  </si>
  <si>
    <t>Aluminium, profilé extrudé</t>
  </si>
  <si>
    <t xml:space="preserve">Europe </t>
  </si>
  <si>
    <t xml:space="preserve">Cornière Alu 50x50mm 0,750kg/m 3mm épaisseur </t>
  </si>
  <si>
    <t>Base empreinte</t>
  </si>
  <si>
    <t xml:space="preserve">Charpente Acier </t>
  </si>
  <si>
    <t>Base booster</t>
  </si>
  <si>
    <t>Acier ou fer blanc/neuf</t>
  </si>
  <si>
    <t xml:space="preserve">Charpente bois </t>
  </si>
  <si>
    <t>France</t>
  </si>
  <si>
    <t xml:space="preserve">bois moulé, assimilé à de la charpente bois laméllé-collé </t>
  </si>
  <si>
    <t>Mousse flexible de polyuréthane (PU), RER</t>
  </si>
  <si>
    <t xml:space="preserve">Ratio réemploi </t>
  </si>
  <si>
    <t>&gt;95%</t>
  </si>
  <si>
    <t>Ratio réemploi piètement</t>
  </si>
  <si>
    <t>Contreplaqué, sylviculture durable, 1kg, RER</t>
  </si>
  <si>
    <t xml:space="preserve"> kg eq CO2 / u</t>
  </si>
  <si>
    <t>Tissu NOMA</t>
  </si>
  <si>
    <t>masse en kg ou m2 ou kg/m2</t>
  </si>
  <si>
    <t>Contreplaqué</t>
  </si>
  <si>
    <t>Mousse PU</t>
  </si>
  <si>
    <t>Assises bois</t>
  </si>
  <si>
    <t>Sols</t>
  </si>
  <si>
    <t>Gradins</t>
  </si>
  <si>
    <r>
      <rPr>
        <b/>
        <sz val="12"/>
        <color theme="1"/>
        <rFont val="Calibri"/>
        <family val="2"/>
        <scheme val="minor"/>
      </rPr>
      <t>Rideaux</t>
    </r>
    <r>
      <rPr>
        <sz val="12"/>
        <color theme="1"/>
        <rFont val="Calibri"/>
        <family val="2"/>
        <scheme val="minor"/>
      </rPr>
      <t xml:space="preserve"> </t>
    </r>
  </si>
  <si>
    <t xml:space="preserve"> kg eq CO2 / m</t>
  </si>
  <si>
    <t xml:space="preserve">Mobilier </t>
  </si>
  <si>
    <t>Tissu</t>
  </si>
  <si>
    <t xml:space="preserve">Rail </t>
  </si>
  <si>
    <t xml:space="preserve">origine data </t>
  </si>
  <si>
    <t>unité</t>
  </si>
  <si>
    <t>Lots de données spécifiques</t>
  </si>
  <si>
    <t>Chili (laize de 140 cm)</t>
  </si>
  <si>
    <t>Noma (laize de 140 cm)</t>
  </si>
  <si>
    <t>kg/m2</t>
  </si>
  <si>
    <t xml:space="preserve">Reduction d'impact relatif </t>
  </si>
  <si>
    <t>Réduction d'Impact CO2 rélatif</t>
  </si>
  <si>
    <t xml:space="preserve">Panneaux Acoustique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</si>
</sst>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rgb="FF004899"/>
      <name val="Marianne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0" fillId="0" borderId="0" xfId="0" applyNumberFormat="1"/>
    <xf numFmtId="0" fontId="0" fillId="0" borderId="3" xfId="0" applyBorder="1"/>
    <xf numFmtId="0" fontId="0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Font="1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5" xfId="0" applyFont="1" applyBorder="1" applyAlignment="1">
      <alignment wrapText="1"/>
    </xf>
    <xf numFmtId="0" fontId="0" fillId="0" borderId="16" xfId="0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ill="1" applyBorder="1"/>
    <xf numFmtId="0" fontId="2" fillId="0" borderId="4" xfId="0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Alignment="1">
      <alignment wrapText="1"/>
    </xf>
    <xf numFmtId="2" fontId="0" fillId="0" borderId="8" xfId="0" applyNumberFormat="1" applyBorder="1"/>
    <xf numFmtId="2" fontId="0" fillId="2" borderId="1" xfId="0" applyNumberFormat="1" applyFill="1" applyBorder="1"/>
    <xf numFmtId="2" fontId="0" fillId="2" borderId="8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0" borderId="1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17" xfId="0" applyFont="1" applyFill="1" applyBorder="1" applyAlignment="1">
      <alignment wrapText="1"/>
    </xf>
    <xf numFmtId="2" fontId="0" fillId="2" borderId="3" xfId="0" applyNumberFormat="1" applyFill="1" applyBorder="1"/>
    <xf numFmtId="2" fontId="0" fillId="2" borderId="18" xfId="0" applyNumberFormat="1" applyFill="1" applyBorder="1"/>
    <xf numFmtId="9" fontId="0" fillId="2" borderId="3" xfId="1" applyFont="1" applyFill="1" applyBorder="1"/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9" fontId="0" fillId="0" borderId="0" xfId="1" applyFont="1"/>
    <xf numFmtId="2" fontId="0" fillId="0" borderId="0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9" fontId="0" fillId="0" borderId="3" xfId="1" applyFont="1" applyBorder="1"/>
    <xf numFmtId="0" fontId="0" fillId="0" borderId="18" xfId="0" applyBorder="1"/>
    <xf numFmtId="0" fontId="0" fillId="3" borderId="3" xfId="0" applyFill="1" applyBorder="1"/>
    <xf numFmtId="2" fontId="0" fillId="3" borderId="3" xfId="0" applyNumberFormat="1" applyFill="1" applyBorder="1"/>
    <xf numFmtId="9" fontId="0" fillId="3" borderId="3" xfId="1" applyFont="1" applyFill="1" applyBorder="1"/>
    <xf numFmtId="0" fontId="0" fillId="3" borderId="18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c monvoisin" id="{41920047-6D97-B942-BB0B-50CC5DAB78AC}" userId="fe4dd5ea85cae1f8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1" dT="2023-04-13T14:39:59.08" personId="{41920047-6D97-B942-BB0B-50CC5DAB78AC}" id="{A5B6E868-4EAF-E54C-807D-2D129B8B4CF7}">
    <text>Impact cumulé de la matière vierge</text>
  </threadedComment>
  <threadedComment ref="B46" dT="2023-04-13T10:57:20.53" personId="{41920047-6D97-B942-BB0B-50CC5DAB78AC}" id="{B8EF507F-2EEE-894A-A14A-B50159FAEDEA}">
    <text xml:space="preserve">Poids carbone de deux panneaux méla vierge
</text>
  </threadedComment>
  <threadedComment ref="G46" dT="2023-04-13T10:57:58.05" personId="{41920047-6D97-B942-BB0B-50CC5DAB78AC}" id="{F50C39B7-8AAD-0040-A61F-679742EE1E4F}">
    <text>Poids carbone de 2 panneaux PS le Pavé (hypothèse le Pavé : -70%)</text>
  </threadedComment>
  <threadedComment ref="D93" dT="2023-04-13T10:07:51.83" personId="{41920047-6D97-B942-BB0B-50CC5DAB78AC}" id="{0F3CFE25-3A3C-8E41-986A-8BA801DD2E65}">
    <text>Empreinte carbone CP</text>
  </threadedComment>
  <threadedComment ref="F94" dT="2023-04-13T10:08:56.25" personId="{41920047-6D97-B942-BB0B-50CC5DAB78AC}" id="{B610C561-3E4E-FC46-A336-AB2999929128}">
    <text xml:space="preserve">Empreinte carbone Tissu rideaux
</text>
  </threadedComment>
  <threadedComment ref="F95" dT="2023-04-13T10:09:34.64" personId="{41920047-6D97-B942-BB0B-50CC5DAB78AC}" id="{F311730E-B44B-6F42-8E4B-B5B56709475B}">
    <text xml:space="preserve">Empreinte carbone Tissu galette
</text>
  </threadedComment>
  <threadedComment ref="E96" dT="2023-04-13T10:14:25.27" personId="{41920047-6D97-B942-BB0B-50CC5DAB78AC}" id="{5573EE42-CF66-2B48-95EF-E1EC506461B8}">
    <text xml:space="preserve">Empreinte tringle alu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A718-711D-BC43-B986-3F7C8861A866}">
  <dimension ref="A3:I97"/>
  <sheetViews>
    <sheetView tabSelected="1" topLeftCell="A29" zoomScale="130" zoomScaleNormal="130" workbookViewId="0">
      <selection activeCell="G38" sqref="G38"/>
    </sheetView>
  </sheetViews>
  <sheetFormatPr baseColWidth="10" defaultRowHeight="16"/>
  <cols>
    <col min="1" max="1" width="26.5" style="7" customWidth="1"/>
    <col min="2" max="3" width="15" customWidth="1"/>
    <col min="4" max="4" width="20.5" customWidth="1"/>
    <col min="5" max="5" width="16.33203125" customWidth="1"/>
    <col min="6" max="6" width="18.1640625" customWidth="1"/>
    <col min="7" max="7" width="11" bestFit="1" customWidth="1"/>
    <col min="8" max="8" width="11.6640625" bestFit="1" customWidth="1"/>
  </cols>
  <sheetData>
    <row r="3" spans="1:8">
      <c r="B3" t="s">
        <v>0</v>
      </c>
    </row>
    <row r="5" spans="1:8" ht="17" thickBot="1"/>
    <row r="6" spans="1:8" s="2" customFormat="1" ht="52" thickBot="1">
      <c r="A6" s="55"/>
      <c r="B6" s="56" t="s">
        <v>70</v>
      </c>
      <c r="C6" s="56"/>
      <c r="D6" s="57" t="s">
        <v>8</v>
      </c>
      <c r="E6" s="56" t="s">
        <v>9</v>
      </c>
      <c r="F6" s="57" t="s">
        <v>12</v>
      </c>
      <c r="G6" s="56" t="s">
        <v>27</v>
      </c>
      <c r="H6" s="58" t="s">
        <v>26</v>
      </c>
    </row>
    <row r="7" spans="1:8" s="2" customFormat="1" ht="17" thickBot="1">
      <c r="A7" s="27"/>
      <c r="B7" s="28"/>
      <c r="C7" s="28"/>
      <c r="D7" s="29"/>
      <c r="E7" s="28"/>
      <c r="F7" s="29"/>
      <c r="G7" s="28"/>
      <c r="H7" s="28"/>
    </row>
    <row r="8" spans="1:8" ht="17">
      <c r="A8" s="14" t="s">
        <v>76</v>
      </c>
      <c r="B8" s="15"/>
      <c r="C8" s="15"/>
      <c r="D8" s="15"/>
      <c r="E8" s="15"/>
      <c r="F8" s="15">
        <v>0</v>
      </c>
      <c r="G8" s="15">
        <f>E97+F95</f>
        <v>47.86092</v>
      </c>
      <c r="H8" s="16" t="s">
        <v>40</v>
      </c>
    </row>
    <row r="9" spans="1:8" ht="17">
      <c r="A9" s="24" t="s">
        <v>79</v>
      </c>
      <c r="B9" s="23"/>
      <c r="C9" s="23"/>
      <c r="D9" s="23"/>
      <c r="E9" s="23"/>
      <c r="F9" s="23"/>
      <c r="G9" s="23"/>
      <c r="H9" s="25"/>
    </row>
    <row r="10" spans="1:8" ht="18" thickBot="1">
      <c r="A10" s="20" t="s">
        <v>80</v>
      </c>
      <c r="B10" s="21"/>
      <c r="C10" s="21"/>
      <c r="D10" s="21"/>
      <c r="E10" s="21"/>
      <c r="F10" s="21"/>
      <c r="G10" s="21"/>
      <c r="H10" s="22"/>
    </row>
    <row r="11" spans="1:8" ht="17" thickBot="1">
      <c r="A11" s="26"/>
      <c r="B11" s="18"/>
      <c r="C11" s="18"/>
      <c r="D11" s="18"/>
      <c r="E11" s="18"/>
      <c r="F11" s="18"/>
      <c r="G11" s="18"/>
      <c r="H11" s="18"/>
    </row>
    <row r="12" spans="1:8" ht="17">
      <c r="A12" s="30" t="s">
        <v>75</v>
      </c>
      <c r="B12" s="15"/>
      <c r="C12" s="15"/>
      <c r="D12" s="15"/>
      <c r="E12" s="15"/>
      <c r="F12" s="15"/>
      <c r="G12" s="15"/>
      <c r="H12" s="16"/>
    </row>
    <row r="13" spans="1:8" ht="17">
      <c r="A13" s="17" t="s">
        <v>1</v>
      </c>
      <c r="B13" s="1">
        <v>607</v>
      </c>
      <c r="C13" s="1"/>
      <c r="D13" s="1">
        <v>2.4300000000000002</v>
      </c>
      <c r="E13" s="1"/>
      <c r="F13" s="1"/>
      <c r="G13" s="1">
        <f>D13*B13</f>
        <v>1475.01</v>
      </c>
      <c r="H13" s="19"/>
    </row>
    <row r="14" spans="1:8" ht="17">
      <c r="A14" s="17" t="s">
        <v>2</v>
      </c>
      <c r="B14" s="1">
        <f>933-607</f>
        <v>326</v>
      </c>
      <c r="C14" s="1"/>
      <c r="D14" s="1">
        <f>D72</f>
        <v>2.21</v>
      </c>
      <c r="E14" s="1"/>
      <c r="F14" s="1"/>
      <c r="G14" s="1">
        <f t="shared" ref="G14:G15" si="0">D14*B14</f>
        <v>720.46</v>
      </c>
      <c r="H14" s="19"/>
    </row>
    <row r="15" spans="1:8" ht="17">
      <c r="A15" s="17" t="s">
        <v>73</v>
      </c>
      <c r="B15" s="1">
        <f>2.5*100</f>
        <v>250</v>
      </c>
      <c r="C15" s="1"/>
      <c r="D15" s="1">
        <v>2.75</v>
      </c>
      <c r="E15" s="1"/>
      <c r="F15" s="1"/>
      <c r="G15" s="1">
        <f t="shared" si="0"/>
        <v>687.5</v>
      </c>
      <c r="H15" s="19" t="s">
        <v>62</v>
      </c>
    </row>
    <row r="16" spans="1:8" ht="17">
      <c r="A16" s="17" t="s">
        <v>64</v>
      </c>
      <c r="B16" s="1"/>
      <c r="C16" s="1"/>
      <c r="D16" s="1"/>
      <c r="E16" s="1"/>
      <c r="F16" s="1"/>
      <c r="G16" s="3">
        <f>(B13+B15)/(B13+B14+B15)</f>
        <v>0.72442941673710903</v>
      </c>
      <c r="H16" s="19"/>
    </row>
    <row r="17" spans="1:9" ht="17">
      <c r="A17" s="17" t="s">
        <v>3</v>
      </c>
      <c r="B17" s="1"/>
      <c r="C17" s="1"/>
      <c r="D17" s="1"/>
      <c r="E17" s="1"/>
      <c r="F17" s="1"/>
      <c r="G17" s="5">
        <f>D93+E94+F89</f>
        <v>122.99199999999999</v>
      </c>
      <c r="H17" s="19"/>
    </row>
    <row r="18" spans="1:9" ht="17">
      <c r="A18" s="17" t="s">
        <v>69</v>
      </c>
      <c r="B18" s="5">
        <f>0.44*0.09</f>
        <v>3.9599999999999996E-2</v>
      </c>
      <c r="C18" s="5"/>
      <c r="D18" s="5"/>
      <c r="E18" s="5"/>
      <c r="F18" s="5"/>
      <c r="G18" s="5"/>
      <c r="H18" s="38"/>
    </row>
    <row r="19" spans="1:9" ht="17">
      <c r="A19" s="17" t="s">
        <v>71</v>
      </c>
      <c r="B19" s="5">
        <f>0.09*0.01*400</f>
        <v>0.36</v>
      </c>
      <c r="C19" s="5"/>
      <c r="D19" s="5"/>
      <c r="E19" s="5"/>
      <c r="F19" s="5"/>
      <c r="G19" s="5"/>
      <c r="H19" s="38"/>
    </row>
    <row r="20" spans="1:9" ht="17">
      <c r="A20" s="17" t="s">
        <v>72</v>
      </c>
      <c r="B20" s="5">
        <f>0.0027*40</f>
        <v>0.10800000000000001</v>
      </c>
      <c r="C20" s="5"/>
      <c r="D20" s="5"/>
      <c r="E20" s="5"/>
      <c r="F20" s="5"/>
      <c r="G20" s="5"/>
      <c r="H20" s="38"/>
    </row>
    <row r="21" spans="1:9" ht="17">
      <c r="A21" s="31" t="s">
        <v>30</v>
      </c>
      <c r="B21" s="39"/>
      <c r="C21" s="39"/>
      <c r="D21" s="39"/>
      <c r="E21" s="39"/>
      <c r="F21" s="39">
        <f>D76-G21</f>
        <v>55.504041666666673</v>
      </c>
      <c r="G21" s="39">
        <f>G17/96+G14/96</f>
        <v>8.7859583333333333</v>
      </c>
      <c r="H21" s="40">
        <f>D76</f>
        <v>64.290000000000006</v>
      </c>
    </row>
    <row r="22" spans="1:9" ht="17">
      <c r="A22" s="51" t="s">
        <v>87</v>
      </c>
      <c r="B22" s="52"/>
      <c r="C22" s="52"/>
      <c r="D22" s="52"/>
      <c r="E22" s="52"/>
      <c r="F22" s="52"/>
      <c r="G22" s="54">
        <f>1-G21/D76</f>
        <v>0.86333864779385083</v>
      </c>
      <c r="H22" s="53"/>
    </row>
    <row r="23" spans="1:9" ht="18" thickBot="1">
      <c r="A23" s="32" t="s">
        <v>36</v>
      </c>
      <c r="B23" s="41"/>
      <c r="C23" s="41"/>
      <c r="D23" s="41"/>
      <c r="E23" s="41"/>
      <c r="F23" s="41">
        <f>F21*96</f>
        <v>5328.3880000000008</v>
      </c>
      <c r="G23" s="41">
        <f>G21*96</f>
        <v>843.452</v>
      </c>
      <c r="H23" s="42">
        <f>H21*96</f>
        <v>6171.84</v>
      </c>
    </row>
    <row r="24" spans="1:9" ht="17" thickBot="1">
      <c r="A24" s="10"/>
      <c r="B24" s="4"/>
      <c r="C24" s="4"/>
      <c r="D24" s="4"/>
      <c r="E24" s="4"/>
      <c r="F24" s="4"/>
      <c r="G24" s="4"/>
      <c r="H24" s="18"/>
    </row>
    <row r="25" spans="1:9" ht="17">
      <c r="A25" s="34" t="s">
        <v>74</v>
      </c>
      <c r="B25" s="35"/>
      <c r="C25" s="35"/>
      <c r="D25" s="35"/>
      <c r="E25" s="35"/>
      <c r="F25" s="35"/>
      <c r="G25" s="35"/>
      <c r="H25" s="16"/>
    </row>
    <row r="26" spans="1:9" ht="17">
      <c r="A26" s="17" t="s">
        <v>4</v>
      </c>
      <c r="B26" s="1">
        <v>31.2</v>
      </c>
      <c r="C26" s="1"/>
      <c r="D26" s="1">
        <v>9.77</v>
      </c>
      <c r="E26" s="1"/>
      <c r="F26" s="5"/>
      <c r="G26" s="5">
        <f>D26*B26</f>
        <v>304.82399999999996</v>
      </c>
      <c r="H26" s="38"/>
    </row>
    <row r="27" spans="1:9" ht="17">
      <c r="A27" s="17" t="s">
        <v>5</v>
      </c>
      <c r="B27" s="1">
        <f>80.8+10.44</f>
        <v>91.24</v>
      </c>
      <c r="C27" s="1"/>
      <c r="D27" s="1">
        <v>8.57</v>
      </c>
      <c r="E27" s="1"/>
      <c r="F27" s="5"/>
      <c r="G27" s="5">
        <f>D27*B27</f>
        <v>781.92679999999996</v>
      </c>
      <c r="H27" s="38"/>
    </row>
    <row r="28" spans="1:9" ht="17">
      <c r="A28" s="17" t="s">
        <v>6</v>
      </c>
      <c r="B28" s="5">
        <f>2.1*0.75*10+4.7*0.115*10</f>
        <v>21.155000000000001</v>
      </c>
      <c r="C28" s="1"/>
      <c r="D28" s="1"/>
      <c r="E28" s="1"/>
      <c r="F28" s="5"/>
      <c r="G28" s="5">
        <f>B28*D70</f>
        <v>52.675950000000007</v>
      </c>
      <c r="H28" s="38"/>
    </row>
    <row r="29" spans="1:9" ht="17">
      <c r="A29" s="17" t="s">
        <v>64</v>
      </c>
      <c r="B29" s="1"/>
      <c r="C29" s="1"/>
      <c r="D29" s="1"/>
      <c r="E29" s="5"/>
      <c r="F29" s="1"/>
      <c r="G29" s="3">
        <f>(B27)/(B26+B27+B28)</f>
        <v>0.6353981684599046</v>
      </c>
      <c r="H29" s="19"/>
    </row>
    <row r="30" spans="1:9" ht="17">
      <c r="A30" s="51" t="s">
        <v>87</v>
      </c>
      <c r="B30" s="65"/>
      <c r="C30" s="65"/>
      <c r="D30" s="65"/>
      <c r="E30" s="66"/>
      <c r="F30" s="65"/>
      <c r="G30" s="67">
        <f>G27/(G27+G26+G28)</f>
        <v>0.68624578104735567</v>
      </c>
      <c r="H30" s="68"/>
    </row>
    <row r="31" spans="1:9" ht="18" thickBot="1">
      <c r="A31" s="32" t="s">
        <v>31</v>
      </c>
      <c r="B31" s="33"/>
      <c r="C31" s="33"/>
      <c r="D31" s="33"/>
      <c r="E31" s="33"/>
      <c r="F31" s="41">
        <f>H31-G31</f>
        <v>781.92679999999996</v>
      </c>
      <c r="G31" s="41">
        <f>G26+G28</f>
        <v>357.49994999999996</v>
      </c>
      <c r="H31" s="42">
        <f>G26+G27+G28</f>
        <v>1139.4267499999999</v>
      </c>
    </row>
    <row r="32" spans="1:9" ht="17" thickBot="1">
      <c r="A32" s="10"/>
      <c r="B32" s="4"/>
      <c r="C32" s="4"/>
      <c r="D32" s="4"/>
      <c r="E32" s="4"/>
      <c r="F32" s="60"/>
      <c r="G32" s="60"/>
      <c r="H32" s="60"/>
      <c r="I32" s="4"/>
    </row>
    <row r="33" spans="1:9" ht="17">
      <c r="A33" s="34" t="s">
        <v>89</v>
      </c>
      <c r="B33" s="35"/>
      <c r="C33" s="35"/>
      <c r="D33" s="35"/>
      <c r="E33" s="35"/>
      <c r="F33" s="61"/>
      <c r="G33" s="61"/>
      <c r="H33" s="62"/>
      <c r="I33" s="4"/>
    </row>
    <row r="34" spans="1:9" ht="17">
      <c r="A34" s="17" t="s">
        <v>38</v>
      </c>
      <c r="B34" s="1">
        <f>15/0.36*3</f>
        <v>125.00000000000001</v>
      </c>
      <c r="C34" s="1"/>
      <c r="D34" s="1"/>
      <c r="E34" s="1"/>
      <c r="F34" s="1"/>
      <c r="G34" s="1"/>
      <c r="H34" s="19"/>
    </row>
    <row r="35" spans="1:9" ht="17">
      <c r="A35" s="17" t="s">
        <v>32</v>
      </c>
      <c r="B35" s="1"/>
      <c r="C35" s="1"/>
      <c r="D35" s="1"/>
      <c r="E35" s="1"/>
      <c r="F35" s="1"/>
      <c r="G35" s="5">
        <f>15*(0.44/1.4)*0.202</f>
        <v>0.95228571428571451</v>
      </c>
      <c r="H35" s="19"/>
    </row>
    <row r="36" spans="1:9" ht="17">
      <c r="A36" s="17" t="s">
        <v>33</v>
      </c>
      <c r="B36" s="1">
        <v>15</v>
      </c>
      <c r="C36" s="1"/>
      <c r="D36" s="1">
        <v>26.4</v>
      </c>
      <c r="E36" s="1">
        <v>2</v>
      </c>
      <c r="F36" s="1"/>
      <c r="G36" s="1">
        <f>D36*B36</f>
        <v>396</v>
      </c>
      <c r="H36" s="19"/>
    </row>
    <row r="37" spans="1:9" ht="17">
      <c r="A37" s="17" t="s">
        <v>64</v>
      </c>
      <c r="B37" s="1"/>
      <c r="C37" s="1"/>
      <c r="D37" s="1"/>
      <c r="E37" s="1"/>
      <c r="F37" s="1"/>
      <c r="G37" s="1" t="s">
        <v>65</v>
      </c>
      <c r="H37" s="19"/>
    </row>
    <row r="38" spans="1:9" ht="17">
      <c r="A38" s="51" t="s">
        <v>87</v>
      </c>
      <c r="B38" s="13"/>
      <c r="C38" s="13"/>
      <c r="D38" s="13"/>
      <c r="E38" s="13"/>
      <c r="F38" s="13"/>
      <c r="G38" s="63">
        <f>1-G39/F39</f>
        <v>0.99758944127544813</v>
      </c>
      <c r="H38" s="64"/>
    </row>
    <row r="39" spans="1:9" ht="18" thickBot="1">
      <c r="A39" s="32" t="s">
        <v>34</v>
      </c>
      <c r="B39" s="33"/>
      <c r="C39" s="33"/>
      <c r="D39" s="33"/>
      <c r="E39" s="33"/>
      <c r="F39" s="41">
        <f>G36-G39</f>
        <v>395.04771428571428</v>
      </c>
      <c r="G39" s="41">
        <f>G35</f>
        <v>0.95228571428571451</v>
      </c>
      <c r="H39" s="42">
        <f>G36</f>
        <v>396</v>
      </c>
    </row>
    <row r="40" spans="1:9" ht="17" thickBot="1">
      <c r="A40" s="10"/>
      <c r="B40" s="4"/>
      <c r="C40" s="4"/>
      <c r="D40" s="4"/>
      <c r="E40" s="4"/>
      <c r="F40" s="4"/>
      <c r="G40" s="4"/>
      <c r="H40" s="4"/>
    </row>
    <row r="41" spans="1:9" ht="17">
      <c r="A41" s="34" t="s">
        <v>78</v>
      </c>
      <c r="B41" s="35"/>
      <c r="C41" s="35"/>
      <c r="D41" s="35"/>
      <c r="E41" s="35"/>
      <c r="F41" s="35"/>
      <c r="G41" s="35"/>
      <c r="H41" s="36"/>
    </row>
    <row r="42" spans="1:9" ht="34">
      <c r="A42" s="17" t="s">
        <v>22</v>
      </c>
      <c r="B42" s="1">
        <v>10.119999999999999</v>
      </c>
      <c r="C42" s="1"/>
      <c r="D42" s="1">
        <v>2.4300000000000002</v>
      </c>
      <c r="E42" s="1"/>
      <c r="F42" s="1"/>
      <c r="G42" s="5">
        <f t="shared" ref="G42:G44" si="1">D42*B42</f>
        <v>24.5916</v>
      </c>
      <c r="H42" s="19"/>
    </row>
    <row r="43" spans="1:9" ht="17">
      <c r="A43" s="17" t="s">
        <v>23</v>
      </c>
      <c r="B43" s="1">
        <f>11.24-B42</f>
        <v>1.120000000000001</v>
      </c>
      <c r="C43" s="1"/>
      <c r="D43" s="1">
        <v>2.4300000000000002</v>
      </c>
      <c r="E43" s="1"/>
      <c r="F43" s="1"/>
      <c r="G43" s="5">
        <f t="shared" si="1"/>
        <v>2.7216000000000027</v>
      </c>
      <c r="H43" s="19"/>
    </row>
    <row r="44" spans="1:9" ht="34">
      <c r="A44" s="17" t="s">
        <v>24</v>
      </c>
      <c r="B44" s="1">
        <v>7.34</v>
      </c>
      <c r="C44" s="1"/>
      <c r="D44" s="1">
        <v>2.4300000000000002</v>
      </c>
      <c r="E44" s="1"/>
      <c r="F44" s="1"/>
      <c r="G44" s="5">
        <f t="shared" si="1"/>
        <v>17.836200000000002</v>
      </c>
      <c r="H44" s="19"/>
    </row>
    <row r="45" spans="1:9" ht="17">
      <c r="A45" s="17" t="s">
        <v>25</v>
      </c>
      <c r="B45" s="1">
        <f>9.67-B44</f>
        <v>2.33</v>
      </c>
      <c r="C45" s="1"/>
      <c r="D45" s="1">
        <v>2.4300000000000002</v>
      </c>
      <c r="E45" s="1"/>
      <c r="F45" s="1"/>
      <c r="G45" s="5">
        <f>D45*B45</f>
        <v>5.6619000000000002</v>
      </c>
      <c r="H45" s="19"/>
    </row>
    <row r="46" spans="1:9" ht="17">
      <c r="A46" s="17" t="s">
        <v>7</v>
      </c>
      <c r="B46" s="5">
        <f>1.4*0.9*0.015*727*0.228*2</f>
        <v>6.2655767999999998</v>
      </c>
      <c r="C46" s="1"/>
      <c r="D46" s="1"/>
      <c r="E46" s="1"/>
      <c r="F46" s="1"/>
      <c r="G46" s="5">
        <f>B46*0.3</f>
        <v>1.8796730399999999</v>
      </c>
      <c r="H46" s="19"/>
    </row>
    <row r="47" spans="1:9" ht="17">
      <c r="A47" s="17" t="s">
        <v>28</v>
      </c>
      <c r="B47" s="1"/>
      <c r="C47" s="1"/>
      <c r="D47" s="1"/>
      <c r="E47" s="1"/>
      <c r="F47" s="1"/>
      <c r="G47" s="5">
        <f>(G46/4)+(G43)</f>
        <v>3.1915182600000027</v>
      </c>
      <c r="H47" s="19"/>
    </row>
    <row r="48" spans="1:9" ht="17">
      <c r="A48" s="17" t="s">
        <v>29</v>
      </c>
      <c r="B48" s="1"/>
      <c r="C48" s="1"/>
      <c r="D48" s="1"/>
      <c r="E48" s="1"/>
      <c r="F48" s="1"/>
      <c r="G48" s="5">
        <f>(G46/4)+G45</f>
        <v>6.1318182600000002</v>
      </c>
      <c r="H48" s="19"/>
    </row>
    <row r="49" spans="1:8" ht="17">
      <c r="A49" s="37" t="s">
        <v>10</v>
      </c>
      <c r="B49" s="1"/>
      <c r="C49" s="1"/>
      <c r="D49" s="1">
        <v>87.41</v>
      </c>
      <c r="E49" s="1"/>
      <c r="F49" s="1"/>
      <c r="G49" s="1"/>
      <c r="H49" s="19"/>
    </row>
    <row r="50" spans="1:8" ht="17">
      <c r="A50" s="17" t="s">
        <v>66</v>
      </c>
      <c r="B50" s="1"/>
      <c r="C50" s="1"/>
      <c r="D50" s="1"/>
      <c r="E50" s="1"/>
      <c r="F50" s="1"/>
      <c r="G50" s="3">
        <f>(B42+B44)/(B42+B43+B44+B45)</f>
        <v>0.83500717360114796</v>
      </c>
      <c r="H50" s="19"/>
    </row>
    <row r="51" spans="1:8" ht="17">
      <c r="A51" s="51" t="s">
        <v>87</v>
      </c>
      <c r="B51" s="13"/>
      <c r="C51" s="13"/>
      <c r="D51" s="13"/>
      <c r="E51" s="13"/>
      <c r="F51" s="13"/>
      <c r="G51" s="63">
        <f>1-G52/(G42+G43+G44+G45+B46)</f>
        <v>0.64037369893371587</v>
      </c>
      <c r="H51" s="64"/>
    </row>
    <row r="52" spans="1:8" ht="18" thickBot="1">
      <c r="A52" s="32" t="s">
        <v>35</v>
      </c>
      <c r="B52" s="33"/>
      <c r="C52" s="33"/>
      <c r="D52" s="33"/>
      <c r="E52" s="33"/>
      <c r="F52" s="41">
        <f>D49*4-G48*2-G47*2-G46</f>
        <v>329.11365391999999</v>
      </c>
      <c r="G52" s="41">
        <f>G47*2+G48*2+G46</f>
        <v>20.526346080000007</v>
      </c>
      <c r="H52" s="42">
        <f>D49*4</f>
        <v>349.64</v>
      </c>
    </row>
    <row r="53" spans="1:8">
      <c r="A53" s="10"/>
      <c r="B53" s="4"/>
      <c r="C53" s="4"/>
      <c r="D53" s="4"/>
      <c r="E53" s="4"/>
      <c r="F53" s="4"/>
      <c r="G53" s="4"/>
    </row>
    <row r="54" spans="1:8">
      <c r="A54" s="10"/>
      <c r="B54" s="4"/>
      <c r="C54" s="4"/>
      <c r="D54" s="4"/>
      <c r="E54" s="4"/>
      <c r="F54" s="4"/>
      <c r="G54" s="4"/>
    </row>
    <row r="55" spans="1:8">
      <c r="D55" s="18"/>
      <c r="E55" s="18"/>
      <c r="F55" s="18"/>
      <c r="G55" s="18"/>
      <c r="H55" s="18"/>
    </row>
    <row r="57" spans="1:8" ht="17">
      <c r="A57" s="9" t="s">
        <v>39</v>
      </c>
      <c r="B57" s="1"/>
      <c r="C57" s="1"/>
      <c r="D57" s="1"/>
      <c r="E57" s="1"/>
      <c r="F57" s="6">
        <f ca="1">SUM(F8:F77)-F21</f>
        <v>6834.4761682057151</v>
      </c>
      <c r="G57" s="1"/>
      <c r="H57" s="1"/>
    </row>
    <row r="58" spans="1:8" ht="20" customHeight="1">
      <c r="A58" s="8" t="s">
        <v>88</v>
      </c>
      <c r="B58" s="1"/>
      <c r="C58" s="1"/>
      <c r="D58" s="1"/>
      <c r="E58" s="1"/>
      <c r="F58" s="3">
        <f>1-(G52+G39+G31+G23+G8)/(H52+H39+H31+H23+G8)</f>
        <v>0.84326614240944853</v>
      </c>
      <c r="G58" s="1"/>
      <c r="H58" s="1"/>
    </row>
    <row r="59" spans="1:8" ht="17">
      <c r="A59" s="9" t="s">
        <v>37</v>
      </c>
      <c r="B59" s="1"/>
      <c r="C59" s="1"/>
      <c r="D59" s="1"/>
      <c r="E59" s="1"/>
      <c r="F59" s="1">
        <f>B44+B42+B15+B13</f>
        <v>874.46</v>
      </c>
      <c r="G59" s="1"/>
      <c r="H59" s="1"/>
    </row>
    <row r="60" spans="1:8">
      <c r="A60" s="10"/>
    </row>
    <row r="63" spans="1:8" ht="17" thickBot="1"/>
    <row r="64" spans="1:8" ht="17">
      <c r="A64" s="48" t="s">
        <v>42</v>
      </c>
      <c r="B64" s="49" t="s">
        <v>43</v>
      </c>
      <c r="C64" s="49"/>
      <c r="D64" s="49" t="s">
        <v>44</v>
      </c>
      <c r="E64" s="49" t="s">
        <v>82</v>
      </c>
      <c r="F64" s="50" t="s">
        <v>81</v>
      </c>
    </row>
    <row r="65" spans="1:9" ht="51">
      <c r="A65" s="17" t="s">
        <v>41</v>
      </c>
      <c r="B65" s="43" t="s">
        <v>45</v>
      </c>
      <c r="C65" s="43"/>
      <c r="D65" s="43">
        <v>10.3</v>
      </c>
      <c r="E65" s="43" t="s">
        <v>51</v>
      </c>
      <c r="F65" s="44" t="s">
        <v>56</v>
      </c>
    </row>
    <row r="66" spans="1:9" ht="102">
      <c r="A66" s="17" t="s">
        <v>47</v>
      </c>
      <c r="B66" s="43" t="s">
        <v>46</v>
      </c>
      <c r="C66" s="43"/>
      <c r="D66" s="43">
        <v>6.59</v>
      </c>
      <c r="E66" s="43" t="s">
        <v>51</v>
      </c>
      <c r="F66" s="44" t="s">
        <v>56</v>
      </c>
      <c r="I66" s="59">
        <f>1-D66/D65</f>
        <v>0.36019417475728166</v>
      </c>
    </row>
    <row r="67" spans="1:9" ht="34">
      <c r="A67" s="17" t="s">
        <v>50</v>
      </c>
      <c r="B67" s="43" t="s">
        <v>54</v>
      </c>
      <c r="C67" s="43"/>
      <c r="D67" s="43">
        <f>1.5*D70</f>
        <v>3.7350000000000003</v>
      </c>
      <c r="E67" s="43" t="s">
        <v>77</v>
      </c>
      <c r="F67" s="44" t="s">
        <v>56</v>
      </c>
    </row>
    <row r="68" spans="1:9" ht="34">
      <c r="A68" s="17" t="s">
        <v>55</v>
      </c>
      <c r="B68" s="43" t="s">
        <v>54</v>
      </c>
      <c r="C68" s="43"/>
      <c r="D68" s="43">
        <f>1.5/2*D70</f>
        <v>1.8675000000000002</v>
      </c>
      <c r="E68" s="43" t="s">
        <v>77</v>
      </c>
      <c r="F68" s="44" t="s">
        <v>56</v>
      </c>
    </row>
    <row r="69" spans="1:9" ht="34">
      <c r="A69" s="17" t="s">
        <v>52</v>
      </c>
      <c r="B69" s="43" t="s">
        <v>54</v>
      </c>
      <c r="C69" s="43"/>
      <c r="D69" s="43">
        <f>0.23/2*D70</f>
        <v>0.28635000000000005</v>
      </c>
      <c r="E69" s="43" t="s">
        <v>77</v>
      </c>
      <c r="F69" s="44" t="s">
        <v>56</v>
      </c>
    </row>
    <row r="70" spans="1:9" ht="17">
      <c r="A70" s="17" t="s">
        <v>53</v>
      </c>
      <c r="B70" s="43" t="s">
        <v>54</v>
      </c>
      <c r="C70" s="43"/>
      <c r="D70" s="43">
        <v>2.4900000000000002</v>
      </c>
      <c r="E70" s="43" t="s">
        <v>51</v>
      </c>
      <c r="F70" s="44" t="s">
        <v>56</v>
      </c>
    </row>
    <row r="71" spans="1:9" ht="17">
      <c r="A71" s="17" t="s">
        <v>57</v>
      </c>
      <c r="B71" s="43"/>
      <c r="C71" s="43"/>
      <c r="D71" s="43">
        <v>2.4300000000000002</v>
      </c>
      <c r="E71" s="43" t="s">
        <v>51</v>
      </c>
      <c r="F71" s="44" t="s">
        <v>58</v>
      </c>
    </row>
    <row r="72" spans="1:9">
      <c r="A72" s="45" t="s">
        <v>59</v>
      </c>
      <c r="B72" s="43" t="s">
        <v>61</v>
      </c>
      <c r="C72" s="43"/>
      <c r="D72" s="43">
        <v>2.21</v>
      </c>
      <c r="E72" s="43" t="s">
        <v>51</v>
      </c>
      <c r="F72" s="44" t="s">
        <v>56</v>
      </c>
    </row>
    <row r="73" spans="1:9" ht="17">
      <c r="A73" s="17" t="s">
        <v>60</v>
      </c>
      <c r="B73" s="43"/>
      <c r="C73" s="43"/>
      <c r="D73" s="43">
        <v>2.75</v>
      </c>
      <c r="E73" s="43" t="s">
        <v>51</v>
      </c>
      <c r="F73" s="44" t="s">
        <v>58</v>
      </c>
    </row>
    <row r="74" spans="1:9">
      <c r="A74" s="45" t="s">
        <v>63</v>
      </c>
      <c r="B74" s="43"/>
      <c r="C74" s="43"/>
      <c r="D74" s="43">
        <v>5.0999999999999996</v>
      </c>
      <c r="E74" s="43" t="s">
        <v>51</v>
      </c>
      <c r="F74" s="44" t="s">
        <v>56</v>
      </c>
    </row>
    <row r="75" spans="1:9">
      <c r="A75" s="45" t="s">
        <v>67</v>
      </c>
      <c r="B75" s="43" t="s">
        <v>54</v>
      </c>
      <c r="C75" s="43"/>
      <c r="D75" s="43">
        <v>0.84199999999999997</v>
      </c>
      <c r="E75" s="43" t="s">
        <v>51</v>
      </c>
      <c r="F75" s="44" t="s">
        <v>56</v>
      </c>
    </row>
    <row r="76" spans="1:9" ht="17">
      <c r="A76" s="9" t="s">
        <v>11</v>
      </c>
      <c r="B76" s="1"/>
      <c r="C76" s="1"/>
      <c r="D76" s="1">
        <v>64.290000000000006</v>
      </c>
      <c r="E76" s="43" t="s">
        <v>68</v>
      </c>
      <c r="F76" s="44" t="s">
        <v>58</v>
      </c>
    </row>
    <row r="77" spans="1:9" ht="17">
      <c r="A77" s="9" t="s">
        <v>10</v>
      </c>
      <c r="B77" s="1"/>
      <c r="C77" s="1"/>
      <c r="D77" s="1">
        <v>87.41</v>
      </c>
      <c r="E77" s="1"/>
      <c r="F77" s="1"/>
      <c r="G77" s="1"/>
    </row>
    <row r="78" spans="1:9">
      <c r="A78" s="17"/>
      <c r="B78" s="43"/>
      <c r="C78" s="43"/>
      <c r="D78" s="43"/>
      <c r="E78" s="43"/>
      <c r="F78" s="44"/>
    </row>
    <row r="79" spans="1:9">
      <c r="A79" s="17"/>
      <c r="B79" s="43"/>
      <c r="C79" s="43"/>
      <c r="D79" s="43"/>
      <c r="E79" s="43"/>
      <c r="F79" s="44"/>
    </row>
    <row r="80" spans="1:9" ht="17" thickBot="1">
      <c r="A80" s="20"/>
      <c r="B80" s="46"/>
      <c r="C80" s="46"/>
      <c r="D80" s="46"/>
      <c r="E80" s="46"/>
      <c r="F80" s="47"/>
    </row>
    <row r="81" spans="1:6" ht="15" customHeight="1">
      <c r="A81" s="11"/>
    </row>
    <row r="82" spans="1:6" ht="15" customHeight="1">
      <c r="A82" s="11"/>
    </row>
    <row r="83" spans="1:6" ht="15" customHeight="1">
      <c r="A83" s="11"/>
    </row>
    <row r="84" spans="1:6" ht="15" customHeight="1"/>
    <row r="85" spans="1:6" ht="15" customHeight="1">
      <c r="A85" s="7" t="s">
        <v>83</v>
      </c>
    </row>
    <row r="86" spans="1:6" ht="17">
      <c r="A86" s="7" t="s">
        <v>84</v>
      </c>
      <c r="B86" t="s">
        <v>49</v>
      </c>
      <c r="C86" s="12">
        <f>0.47/1.4</f>
        <v>0.33571428571428574</v>
      </c>
      <c r="D86" t="s">
        <v>86</v>
      </c>
    </row>
    <row r="87" spans="1:6" ht="17">
      <c r="A87" s="7" t="s">
        <v>85</v>
      </c>
      <c r="B87" t="s">
        <v>48</v>
      </c>
      <c r="C87" s="12">
        <f>0.44/1.4</f>
        <v>0.31428571428571433</v>
      </c>
      <c r="D87" t="s">
        <v>86</v>
      </c>
    </row>
    <row r="88" spans="1:6" ht="17">
      <c r="A88" s="7" t="s">
        <v>19</v>
      </c>
      <c r="B88">
        <f>0.3*0.3*0.03</f>
        <v>2.6999999999999997E-3</v>
      </c>
    </row>
    <row r="89" spans="1:6" ht="17">
      <c r="A89" s="7" t="s">
        <v>20</v>
      </c>
      <c r="B89">
        <f>0.0027*40</f>
        <v>0.10800000000000001</v>
      </c>
      <c r="F89">
        <f>B89*100*D74</f>
        <v>55.08</v>
      </c>
    </row>
    <row r="90" spans="1:6" ht="17">
      <c r="A90" s="7" t="s">
        <v>13</v>
      </c>
      <c r="B90">
        <f>0.3*0.3</f>
        <v>0.09</v>
      </c>
    </row>
    <row r="91" spans="1:6" ht="17">
      <c r="A91" s="7" t="s">
        <v>14</v>
      </c>
      <c r="B91">
        <f>0.44*0.09</f>
        <v>3.9599999999999996E-2</v>
      </c>
    </row>
    <row r="92" spans="1:6" ht="17">
      <c r="A92" s="7" t="s">
        <v>17</v>
      </c>
      <c r="B92">
        <f>B90</f>
        <v>0.09</v>
      </c>
    </row>
    <row r="93" spans="1:6" ht="17">
      <c r="A93" s="7" t="s">
        <v>18</v>
      </c>
      <c r="B93">
        <f>0.09*0.01*400</f>
        <v>0.36</v>
      </c>
      <c r="D93">
        <f>B93*0.842*100</f>
        <v>30.312000000000001</v>
      </c>
    </row>
    <row r="94" spans="1:6" ht="17">
      <c r="A94" s="7" t="s">
        <v>15</v>
      </c>
      <c r="B94">
        <v>80</v>
      </c>
      <c r="D94">
        <v>0.47</v>
      </c>
      <c r="E94">
        <f>D94*B94</f>
        <v>37.599999999999994</v>
      </c>
      <c r="F94">
        <f>E94*0.202</f>
        <v>7.5951999999999993</v>
      </c>
    </row>
    <row r="95" spans="1:6" ht="17">
      <c r="A95" s="7" t="s">
        <v>16</v>
      </c>
      <c r="B95">
        <f>B90*100*0.44</f>
        <v>3.96</v>
      </c>
      <c r="F95">
        <f>B95*0.202</f>
        <v>0.79992000000000008</v>
      </c>
    </row>
    <row r="96" spans="1:6" ht="17">
      <c r="A96" s="7" t="s">
        <v>21</v>
      </c>
      <c r="B96">
        <f>12.6</f>
        <v>12.6</v>
      </c>
      <c r="D96">
        <v>268.38</v>
      </c>
      <c r="E96">
        <f>D96*B96</f>
        <v>3381.5879999999997</v>
      </c>
    </row>
    <row r="97" spans="2:5">
      <c r="B97">
        <f>12.6</f>
        <v>12.6</v>
      </c>
      <c r="D97">
        <f>1.5*2.49</f>
        <v>3.7350000000000003</v>
      </c>
      <c r="E97">
        <f>D97*B97</f>
        <v>47.061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2023-04-13T08:39:52Z</dcterms:created>
  <dcterms:modified xsi:type="dcterms:W3CDTF">2023-04-13T15:45:34Z</dcterms:modified>
</cp:coreProperties>
</file>