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filterPrivacy="1" codeName="DieseArbeitsmappe" defaultThemeVersion="124226"/>
  <xr:revisionPtr revIDLastSave="0" documentId="13_ncr:1_{93456A26-2865-CC40-8A8E-B5576037FCEB}" xr6:coauthVersionLast="45" xr6:coauthVersionMax="45" xr10:uidLastSave="{00000000-0000-0000-0000-000000000000}"/>
  <bookViews>
    <workbookView xWindow="3640" yWindow="3020" windowWidth="29000" windowHeight="26160" tabRatio="788" xr2:uid="{00000000-000D-0000-FFFF-FFFF00000000}"/>
  </bookViews>
  <sheets>
    <sheet name="DGNB LCA Results" sheetId="1" r:id="rId1"/>
    <sheet name="Projekt Herstellung" sheetId="11" r:id="rId2"/>
    <sheet name="Projekt Betrieb" sheetId="12" r:id="rId3"/>
    <sheet name="Construction" sheetId="2" state="hidden" r:id="rId4"/>
    <sheet name="Use" sheetId="3" state="hidden" r:id="rId5"/>
    <sheet name="Ökobau.dat-Version" sheetId="4" state="hidden" r:id="rId6"/>
    <sheet name="Punkte_ENV1.1" sheetId="5" state="hidden" r:id="rId7"/>
    <sheet name="Punkte_PENE" sheetId="6" state="hidden" r:id="rId8"/>
    <sheet name="Punkte_PEGES" sheetId="7" state="hidden" r:id="rId9"/>
    <sheet name="Punkte_PEE" sheetId="8" state="hidden" r:id="rId10"/>
    <sheet name="GesamtCLP" sheetId="9" state="hidden" r:id="rId11"/>
    <sheet name="Sicherheitszuschlag" sheetId="10" state="hidden" r:id="rId12"/>
  </sheets>
  <definedNames>
    <definedName name="_xlnm._FilterDatabase" localSheetId="10" hidden="1">GesamtCLP!$A$1:$I$32</definedName>
    <definedName name="_xlnm._FilterDatabase" localSheetId="6" hidden="1">Punkte_ENV1.1!$A$1:$R$530</definedName>
    <definedName name="_xlnm._FilterDatabase" localSheetId="9" hidden="1">Punkte_PEE!$A$1:$D$528</definedName>
    <definedName name="_xlnm._FilterDatabase" localSheetId="8" hidden="1">Punkte_PEGES!$A$1:$F$545</definedName>
    <definedName name="_xlnm._FilterDatabase" localSheetId="7" hidden="1">Punkte_PENE!$A$1:$F$526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F64" i="1"/>
  <c r="K4" i="11" l="1"/>
  <c r="N4" i="11" s="1"/>
  <c r="G49" i="1" l="1"/>
  <c r="H49" i="1"/>
  <c r="I49" i="1"/>
  <c r="J49" i="1"/>
  <c r="K49" i="1"/>
  <c r="L49" i="1"/>
  <c r="M49" i="1"/>
  <c r="C48" i="1" l="1"/>
  <c r="M40" i="1" l="1"/>
  <c r="L40" i="1"/>
  <c r="K40" i="1"/>
  <c r="J40" i="1"/>
  <c r="I40" i="1"/>
  <c r="H40" i="1"/>
  <c r="G40" i="1"/>
  <c r="G22" i="1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K119" i="11"/>
  <c r="N119" i="11" s="1"/>
  <c r="J119" i="11"/>
  <c r="M119" i="11" s="1"/>
  <c r="I119" i="11"/>
  <c r="L119" i="11" s="1"/>
  <c r="K118" i="11"/>
  <c r="N118" i="11" s="1"/>
  <c r="J118" i="11"/>
  <c r="M118" i="11" s="1"/>
  <c r="I118" i="11"/>
  <c r="L118" i="11" s="1"/>
  <c r="K117" i="11"/>
  <c r="N117" i="11" s="1"/>
  <c r="J117" i="11"/>
  <c r="M117" i="11" s="1"/>
  <c r="I117" i="11"/>
  <c r="L117" i="11" s="1"/>
  <c r="K116" i="11"/>
  <c r="N116" i="11" s="1"/>
  <c r="J116" i="11"/>
  <c r="M116" i="11" s="1"/>
  <c r="I116" i="11"/>
  <c r="L116" i="11" s="1"/>
  <c r="K115" i="11"/>
  <c r="N115" i="11" s="1"/>
  <c r="J115" i="11"/>
  <c r="M115" i="11" s="1"/>
  <c r="I115" i="11"/>
  <c r="L115" i="11" s="1"/>
  <c r="K114" i="11"/>
  <c r="N114" i="11" s="1"/>
  <c r="J114" i="11"/>
  <c r="M114" i="11" s="1"/>
  <c r="I114" i="11"/>
  <c r="L114" i="11" s="1"/>
  <c r="L32" i="1" s="1"/>
  <c r="K113" i="11"/>
  <c r="N113" i="11" s="1"/>
  <c r="J113" i="11"/>
  <c r="M113" i="11" s="1"/>
  <c r="I113" i="11"/>
  <c r="L113" i="11" s="1"/>
  <c r="K112" i="11"/>
  <c r="N112" i="11" s="1"/>
  <c r="J112" i="11"/>
  <c r="M112" i="11" s="1"/>
  <c r="I112" i="11"/>
  <c r="L112" i="11" s="1"/>
  <c r="K111" i="11"/>
  <c r="N111" i="11" s="1"/>
  <c r="J111" i="11"/>
  <c r="M111" i="11" s="1"/>
  <c r="I111" i="11"/>
  <c r="L111" i="11" s="1"/>
  <c r="M32" i="1" s="1"/>
  <c r="K110" i="11"/>
  <c r="N110" i="11" s="1"/>
  <c r="J110" i="11"/>
  <c r="M110" i="11" s="1"/>
  <c r="I110" i="11"/>
  <c r="L110" i="11" s="1"/>
  <c r="K32" i="1" s="1"/>
  <c r="K109" i="11"/>
  <c r="N109" i="11" s="1"/>
  <c r="J109" i="11"/>
  <c r="M109" i="11" s="1"/>
  <c r="I109" i="11"/>
  <c r="L109" i="11" s="1"/>
  <c r="J32" i="1" s="1"/>
  <c r="K108" i="11"/>
  <c r="N108" i="11" s="1"/>
  <c r="J108" i="11"/>
  <c r="M108" i="11" s="1"/>
  <c r="I108" i="11"/>
  <c r="L108" i="11" s="1"/>
  <c r="I32" i="1" s="1"/>
  <c r="K107" i="11"/>
  <c r="N107" i="11" s="1"/>
  <c r="J107" i="11"/>
  <c r="M107" i="11" s="1"/>
  <c r="I107" i="11"/>
  <c r="L107" i="11" s="1"/>
  <c r="H32" i="1" s="1"/>
  <c r="K106" i="11"/>
  <c r="N106" i="11" s="1"/>
  <c r="J106" i="11"/>
  <c r="M106" i="11" s="1"/>
  <c r="I106" i="11"/>
  <c r="L106" i="11" s="1"/>
  <c r="G32" i="1" s="1"/>
  <c r="K102" i="11"/>
  <c r="N102" i="11" s="1"/>
  <c r="J102" i="11"/>
  <c r="M102" i="11" s="1"/>
  <c r="I102" i="11"/>
  <c r="L102" i="11" s="1"/>
  <c r="K101" i="11"/>
  <c r="N101" i="11" s="1"/>
  <c r="J101" i="11"/>
  <c r="M101" i="11" s="1"/>
  <c r="I101" i="11"/>
  <c r="L101" i="11" s="1"/>
  <c r="K100" i="11"/>
  <c r="N100" i="11" s="1"/>
  <c r="J100" i="11"/>
  <c r="M100" i="11" s="1"/>
  <c r="I100" i="11"/>
  <c r="L100" i="11" s="1"/>
  <c r="K99" i="11"/>
  <c r="N99" i="11" s="1"/>
  <c r="J99" i="11"/>
  <c r="M99" i="11" s="1"/>
  <c r="I99" i="11"/>
  <c r="L99" i="11" s="1"/>
  <c r="K98" i="11"/>
  <c r="N98" i="11" s="1"/>
  <c r="J98" i="11"/>
  <c r="M98" i="11" s="1"/>
  <c r="I98" i="11"/>
  <c r="L98" i="11" s="1"/>
  <c r="K97" i="11"/>
  <c r="N97" i="11" s="1"/>
  <c r="J97" i="11"/>
  <c r="M97" i="11" s="1"/>
  <c r="I97" i="11"/>
  <c r="L97" i="11" s="1"/>
  <c r="L30" i="1" s="1"/>
  <c r="K96" i="11"/>
  <c r="N96" i="11" s="1"/>
  <c r="J96" i="11"/>
  <c r="M96" i="11" s="1"/>
  <c r="I96" i="11"/>
  <c r="L96" i="11" s="1"/>
  <c r="K95" i="11"/>
  <c r="N95" i="11" s="1"/>
  <c r="J95" i="11"/>
  <c r="M95" i="11" s="1"/>
  <c r="I95" i="11"/>
  <c r="L95" i="11" s="1"/>
  <c r="K94" i="11"/>
  <c r="N94" i="11" s="1"/>
  <c r="J94" i="11"/>
  <c r="M94" i="11" s="1"/>
  <c r="I94" i="11"/>
  <c r="L94" i="11" s="1"/>
  <c r="M30" i="1" s="1"/>
  <c r="K93" i="11"/>
  <c r="N93" i="11" s="1"/>
  <c r="J93" i="11"/>
  <c r="M93" i="11" s="1"/>
  <c r="I93" i="11"/>
  <c r="L93" i="11" s="1"/>
  <c r="K30" i="1" s="1"/>
  <c r="K92" i="11"/>
  <c r="N92" i="11" s="1"/>
  <c r="J92" i="11"/>
  <c r="M92" i="11" s="1"/>
  <c r="I92" i="11"/>
  <c r="L92" i="11" s="1"/>
  <c r="J30" i="1" s="1"/>
  <c r="K91" i="11"/>
  <c r="N91" i="11" s="1"/>
  <c r="J91" i="11"/>
  <c r="M91" i="11" s="1"/>
  <c r="I91" i="11"/>
  <c r="L91" i="11" s="1"/>
  <c r="I30" i="1" s="1"/>
  <c r="K90" i="11"/>
  <c r="N90" i="11" s="1"/>
  <c r="J90" i="11"/>
  <c r="M90" i="11" s="1"/>
  <c r="I90" i="11"/>
  <c r="L90" i="11" s="1"/>
  <c r="H30" i="1" s="1"/>
  <c r="K89" i="11"/>
  <c r="N89" i="11" s="1"/>
  <c r="J89" i="11"/>
  <c r="M89" i="11" s="1"/>
  <c r="I89" i="11"/>
  <c r="L89" i="11" s="1"/>
  <c r="G30" i="1" s="1"/>
  <c r="K85" i="11"/>
  <c r="N85" i="11" s="1"/>
  <c r="J85" i="11"/>
  <c r="M85" i="11" s="1"/>
  <c r="I85" i="11"/>
  <c r="L85" i="11" s="1"/>
  <c r="K84" i="11"/>
  <c r="N84" i="11" s="1"/>
  <c r="J84" i="11"/>
  <c r="M84" i="11" s="1"/>
  <c r="I84" i="11"/>
  <c r="L84" i="11" s="1"/>
  <c r="K83" i="11"/>
  <c r="N83" i="11" s="1"/>
  <c r="J83" i="11"/>
  <c r="M83" i="11" s="1"/>
  <c r="I83" i="11"/>
  <c r="L83" i="11" s="1"/>
  <c r="K82" i="11"/>
  <c r="N82" i="11" s="1"/>
  <c r="J82" i="11"/>
  <c r="M82" i="11" s="1"/>
  <c r="I82" i="11"/>
  <c r="L82" i="11" s="1"/>
  <c r="K81" i="11"/>
  <c r="N81" i="11" s="1"/>
  <c r="J81" i="11"/>
  <c r="M81" i="11" s="1"/>
  <c r="I81" i="11"/>
  <c r="L81" i="11" s="1"/>
  <c r="K80" i="11"/>
  <c r="N80" i="11" s="1"/>
  <c r="J80" i="11"/>
  <c r="M80" i="11" s="1"/>
  <c r="I80" i="11"/>
  <c r="L80" i="11" s="1"/>
  <c r="L29" i="1" s="1"/>
  <c r="K79" i="11"/>
  <c r="N79" i="11" s="1"/>
  <c r="J79" i="11"/>
  <c r="M79" i="11" s="1"/>
  <c r="I79" i="11"/>
  <c r="L79" i="11" s="1"/>
  <c r="K78" i="11"/>
  <c r="N78" i="11" s="1"/>
  <c r="J78" i="11"/>
  <c r="M78" i="11" s="1"/>
  <c r="I78" i="11"/>
  <c r="L78" i="11" s="1"/>
  <c r="K77" i="11"/>
  <c r="N77" i="11" s="1"/>
  <c r="J77" i="11"/>
  <c r="M77" i="11" s="1"/>
  <c r="I77" i="11"/>
  <c r="L77" i="11" s="1"/>
  <c r="M29" i="1" s="1"/>
  <c r="K76" i="11"/>
  <c r="N76" i="11" s="1"/>
  <c r="J76" i="11"/>
  <c r="M76" i="11" s="1"/>
  <c r="I76" i="11"/>
  <c r="L76" i="11" s="1"/>
  <c r="K29" i="1" s="1"/>
  <c r="K75" i="11"/>
  <c r="N75" i="11" s="1"/>
  <c r="J75" i="11"/>
  <c r="M75" i="11" s="1"/>
  <c r="I75" i="11"/>
  <c r="L75" i="11" s="1"/>
  <c r="J29" i="1" s="1"/>
  <c r="K74" i="11"/>
  <c r="N74" i="11" s="1"/>
  <c r="J74" i="11"/>
  <c r="M74" i="11" s="1"/>
  <c r="I74" i="11"/>
  <c r="L74" i="11" s="1"/>
  <c r="I29" i="1" s="1"/>
  <c r="K73" i="11"/>
  <c r="N73" i="11" s="1"/>
  <c r="J73" i="11"/>
  <c r="M73" i="11" s="1"/>
  <c r="I73" i="11"/>
  <c r="L73" i="11" s="1"/>
  <c r="H29" i="1" s="1"/>
  <c r="K72" i="11"/>
  <c r="N72" i="11" s="1"/>
  <c r="J72" i="11"/>
  <c r="M72" i="11" s="1"/>
  <c r="I72" i="11"/>
  <c r="L72" i="11" s="1"/>
  <c r="G29" i="1" s="1"/>
  <c r="K68" i="11"/>
  <c r="N68" i="11" s="1"/>
  <c r="J68" i="11"/>
  <c r="M68" i="11" s="1"/>
  <c r="I68" i="11"/>
  <c r="L68" i="11" s="1"/>
  <c r="K67" i="11"/>
  <c r="N67" i="11" s="1"/>
  <c r="J67" i="11"/>
  <c r="M67" i="11" s="1"/>
  <c r="I67" i="11"/>
  <c r="L67" i="11" s="1"/>
  <c r="K66" i="11"/>
  <c r="N66" i="11" s="1"/>
  <c r="J66" i="11"/>
  <c r="M66" i="11" s="1"/>
  <c r="I66" i="11"/>
  <c r="L66" i="11" s="1"/>
  <c r="K65" i="11"/>
  <c r="N65" i="11" s="1"/>
  <c r="J65" i="11"/>
  <c r="M65" i="11" s="1"/>
  <c r="I65" i="11"/>
  <c r="L65" i="11" s="1"/>
  <c r="K64" i="11"/>
  <c r="N64" i="11" s="1"/>
  <c r="J64" i="11"/>
  <c r="M64" i="11" s="1"/>
  <c r="I64" i="11"/>
  <c r="L64" i="11" s="1"/>
  <c r="K63" i="11"/>
  <c r="N63" i="11" s="1"/>
  <c r="J63" i="11"/>
  <c r="M63" i="11" s="1"/>
  <c r="I63" i="11"/>
  <c r="L63" i="11" s="1"/>
  <c r="L28" i="1" s="1"/>
  <c r="K62" i="11"/>
  <c r="N62" i="11" s="1"/>
  <c r="J62" i="11"/>
  <c r="M62" i="11" s="1"/>
  <c r="I62" i="11"/>
  <c r="L62" i="11" s="1"/>
  <c r="K61" i="11"/>
  <c r="N61" i="11" s="1"/>
  <c r="J61" i="11"/>
  <c r="M61" i="11" s="1"/>
  <c r="I61" i="11"/>
  <c r="L61" i="11" s="1"/>
  <c r="K60" i="11"/>
  <c r="N60" i="11" s="1"/>
  <c r="J60" i="11"/>
  <c r="M60" i="11" s="1"/>
  <c r="I60" i="11"/>
  <c r="L60" i="11" s="1"/>
  <c r="M28" i="1" s="1"/>
  <c r="K59" i="11"/>
  <c r="N59" i="11" s="1"/>
  <c r="J59" i="11"/>
  <c r="M59" i="11" s="1"/>
  <c r="I59" i="11"/>
  <c r="L59" i="11" s="1"/>
  <c r="K28" i="1" s="1"/>
  <c r="K58" i="11"/>
  <c r="N58" i="11" s="1"/>
  <c r="J58" i="11"/>
  <c r="M58" i="11" s="1"/>
  <c r="I58" i="11"/>
  <c r="L58" i="11" s="1"/>
  <c r="J28" i="1" s="1"/>
  <c r="K57" i="11"/>
  <c r="N57" i="11" s="1"/>
  <c r="J57" i="11"/>
  <c r="M57" i="11" s="1"/>
  <c r="I57" i="11"/>
  <c r="L57" i="11" s="1"/>
  <c r="I28" i="1" s="1"/>
  <c r="K56" i="11"/>
  <c r="N56" i="11" s="1"/>
  <c r="J56" i="11"/>
  <c r="M56" i="11" s="1"/>
  <c r="I56" i="11"/>
  <c r="L56" i="11" s="1"/>
  <c r="H28" i="1" s="1"/>
  <c r="K55" i="11"/>
  <c r="N55" i="11" s="1"/>
  <c r="J55" i="11"/>
  <c r="M55" i="11" s="1"/>
  <c r="I55" i="11"/>
  <c r="L55" i="11" s="1"/>
  <c r="G28" i="1" s="1"/>
  <c r="K51" i="11"/>
  <c r="N51" i="11" s="1"/>
  <c r="J51" i="11"/>
  <c r="M51" i="11" s="1"/>
  <c r="I51" i="11"/>
  <c r="L51" i="11" s="1"/>
  <c r="K50" i="11"/>
  <c r="N50" i="11" s="1"/>
  <c r="J50" i="11"/>
  <c r="M50" i="11" s="1"/>
  <c r="I50" i="11"/>
  <c r="L50" i="11" s="1"/>
  <c r="K49" i="11"/>
  <c r="N49" i="11" s="1"/>
  <c r="J49" i="11"/>
  <c r="M49" i="11" s="1"/>
  <c r="I49" i="11"/>
  <c r="L49" i="11" s="1"/>
  <c r="K48" i="11"/>
  <c r="N48" i="11" s="1"/>
  <c r="J48" i="11"/>
  <c r="M48" i="11" s="1"/>
  <c r="I48" i="11"/>
  <c r="L48" i="11" s="1"/>
  <c r="K47" i="11"/>
  <c r="N47" i="11" s="1"/>
  <c r="J47" i="11"/>
  <c r="M47" i="11" s="1"/>
  <c r="I47" i="11"/>
  <c r="L47" i="11" s="1"/>
  <c r="K46" i="11"/>
  <c r="N46" i="11" s="1"/>
  <c r="J46" i="11"/>
  <c r="M46" i="11" s="1"/>
  <c r="I46" i="11"/>
  <c r="L46" i="11" s="1"/>
  <c r="L27" i="1" s="1"/>
  <c r="K45" i="11"/>
  <c r="N45" i="11" s="1"/>
  <c r="J45" i="11"/>
  <c r="M45" i="11" s="1"/>
  <c r="I45" i="11"/>
  <c r="L45" i="11" s="1"/>
  <c r="K44" i="11"/>
  <c r="N44" i="11" s="1"/>
  <c r="J44" i="11"/>
  <c r="M44" i="11" s="1"/>
  <c r="I44" i="11"/>
  <c r="L44" i="11" s="1"/>
  <c r="K43" i="11"/>
  <c r="N43" i="11" s="1"/>
  <c r="J43" i="11"/>
  <c r="M43" i="11" s="1"/>
  <c r="I43" i="11"/>
  <c r="L43" i="11" s="1"/>
  <c r="M27" i="1" s="1"/>
  <c r="K42" i="11"/>
  <c r="N42" i="11" s="1"/>
  <c r="J42" i="11"/>
  <c r="M42" i="11" s="1"/>
  <c r="I42" i="11"/>
  <c r="L42" i="11" s="1"/>
  <c r="K27" i="1" s="1"/>
  <c r="K41" i="11"/>
  <c r="N41" i="11" s="1"/>
  <c r="J41" i="11"/>
  <c r="M41" i="11" s="1"/>
  <c r="I41" i="11"/>
  <c r="L41" i="11" s="1"/>
  <c r="J27" i="1" s="1"/>
  <c r="K40" i="11"/>
  <c r="N40" i="11" s="1"/>
  <c r="J40" i="11"/>
  <c r="M40" i="11" s="1"/>
  <c r="I40" i="11"/>
  <c r="L40" i="11" s="1"/>
  <c r="I27" i="1" s="1"/>
  <c r="K39" i="11"/>
  <c r="N39" i="11" s="1"/>
  <c r="J39" i="11"/>
  <c r="M39" i="11" s="1"/>
  <c r="I39" i="11"/>
  <c r="L39" i="11" s="1"/>
  <c r="H27" i="1" s="1"/>
  <c r="K38" i="11"/>
  <c r="N38" i="11" s="1"/>
  <c r="J38" i="11"/>
  <c r="M38" i="11" s="1"/>
  <c r="I38" i="11"/>
  <c r="L38" i="11" s="1"/>
  <c r="G27" i="1" s="1"/>
  <c r="K34" i="11"/>
  <c r="N34" i="11" s="1"/>
  <c r="J34" i="11"/>
  <c r="M34" i="11" s="1"/>
  <c r="I34" i="11"/>
  <c r="L34" i="11" s="1"/>
  <c r="K33" i="11"/>
  <c r="N33" i="11" s="1"/>
  <c r="J33" i="11"/>
  <c r="M33" i="11" s="1"/>
  <c r="I33" i="11"/>
  <c r="L33" i="11" s="1"/>
  <c r="K32" i="11"/>
  <c r="N32" i="11" s="1"/>
  <c r="J32" i="11"/>
  <c r="M32" i="11" s="1"/>
  <c r="I32" i="11"/>
  <c r="L32" i="11" s="1"/>
  <c r="K31" i="11"/>
  <c r="N31" i="11" s="1"/>
  <c r="J31" i="11"/>
  <c r="M31" i="11" s="1"/>
  <c r="I31" i="11"/>
  <c r="L31" i="11" s="1"/>
  <c r="K30" i="11"/>
  <c r="N30" i="11" s="1"/>
  <c r="J30" i="11"/>
  <c r="M30" i="11" s="1"/>
  <c r="I30" i="11"/>
  <c r="L30" i="11" s="1"/>
  <c r="K29" i="11"/>
  <c r="N29" i="11" s="1"/>
  <c r="J29" i="11"/>
  <c r="M29" i="11" s="1"/>
  <c r="I29" i="11"/>
  <c r="L29" i="11" s="1"/>
  <c r="L26" i="1" s="1"/>
  <c r="K28" i="11"/>
  <c r="N28" i="11" s="1"/>
  <c r="J28" i="11"/>
  <c r="M28" i="11" s="1"/>
  <c r="I28" i="11"/>
  <c r="L28" i="11" s="1"/>
  <c r="K27" i="11"/>
  <c r="N27" i="11" s="1"/>
  <c r="J27" i="11"/>
  <c r="M27" i="11" s="1"/>
  <c r="I27" i="11"/>
  <c r="L27" i="11" s="1"/>
  <c r="K26" i="11"/>
  <c r="N26" i="11" s="1"/>
  <c r="J26" i="11"/>
  <c r="M26" i="11" s="1"/>
  <c r="I26" i="11"/>
  <c r="L26" i="11" s="1"/>
  <c r="M26" i="1" s="1"/>
  <c r="K25" i="11"/>
  <c r="N25" i="11" s="1"/>
  <c r="J25" i="11"/>
  <c r="M25" i="11" s="1"/>
  <c r="I25" i="11"/>
  <c r="L25" i="11" s="1"/>
  <c r="K26" i="1" s="1"/>
  <c r="K24" i="11"/>
  <c r="N24" i="11" s="1"/>
  <c r="J24" i="11"/>
  <c r="M24" i="11" s="1"/>
  <c r="I24" i="11"/>
  <c r="L24" i="11" s="1"/>
  <c r="J26" i="1" s="1"/>
  <c r="K23" i="11"/>
  <c r="N23" i="11" s="1"/>
  <c r="J23" i="11"/>
  <c r="M23" i="11" s="1"/>
  <c r="I23" i="11"/>
  <c r="L23" i="11" s="1"/>
  <c r="I26" i="1" s="1"/>
  <c r="K22" i="11"/>
  <c r="N22" i="11" s="1"/>
  <c r="J22" i="11"/>
  <c r="M22" i="11" s="1"/>
  <c r="I22" i="11"/>
  <c r="L22" i="11" s="1"/>
  <c r="H26" i="1" s="1"/>
  <c r="K21" i="11"/>
  <c r="N21" i="11" s="1"/>
  <c r="J21" i="11"/>
  <c r="M21" i="11" s="1"/>
  <c r="I21" i="11"/>
  <c r="L21" i="11" s="1"/>
  <c r="G26" i="1" s="1"/>
  <c r="N20" i="11"/>
  <c r="M20" i="11"/>
  <c r="L20" i="11"/>
  <c r="N18" i="11"/>
  <c r="M18" i="11"/>
  <c r="L18" i="11"/>
  <c r="K17" i="11"/>
  <c r="N17" i="11" s="1"/>
  <c r="J17" i="11"/>
  <c r="M17" i="11" s="1"/>
  <c r="I17" i="11"/>
  <c r="L17" i="11" s="1"/>
  <c r="K16" i="11"/>
  <c r="N16" i="11" s="1"/>
  <c r="J16" i="11"/>
  <c r="M16" i="11" s="1"/>
  <c r="I16" i="11"/>
  <c r="L16" i="11" s="1"/>
  <c r="K15" i="11"/>
  <c r="N15" i="11" s="1"/>
  <c r="J15" i="11"/>
  <c r="M15" i="11" s="1"/>
  <c r="I15" i="11"/>
  <c r="L15" i="11" s="1"/>
  <c r="K14" i="11"/>
  <c r="N14" i="11" s="1"/>
  <c r="J14" i="11"/>
  <c r="M14" i="11" s="1"/>
  <c r="I14" i="11"/>
  <c r="L14" i="11" s="1"/>
  <c r="K13" i="11"/>
  <c r="N13" i="11" s="1"/>
  <c r="J13" i="11"/>
  <c r="M13" i="11" s="1"/>
  <c r="I13" i="11"/>
  <c r="L13" i="11" s="1"/>
  <c r="K12" i="11"/>
  <c r="N12" i="11" s="1"/>
  <c r="J12" i="11"/>
  <c r="M12" i="11" s="1"/>
  <c r="I12" i="11"/>
  <c r="L12" i="11" s="1"/>
  <c r="L25" i="1" s="1"/>
  <c r="K11" i="11"/>
  <c r="N11" i="11" s="1"/>
  <c r="J11" i="11"/>
  <c r="M11" i="11" s="1"/>
  <c r="I11" i="11"/>
  <c r="L11" i="11" s="1"/>
  <c r="K10" i="11"/>
  <c r="N10" i="11" s="1"/>
  <c r="J10" i="11"/>
  <c r="M10" i="11" s="1"/>
  <c r="I10" i="11"/>
  <c r="L10" i="11" s="1"/>
  <c r="K9" i="11"/>
  <c r="N9" i="11" s="1"/>
  <c r="J9" i="11"/>
  <c r="M9" i="11" s="1"/>
  <c r="I9" i="11"/>
  <c r="L9" i="11" s="1"/>
  <c r="M25" i="1" s="1"/>
  <c r="K8" i="11"/>
  <c r="N8" i="11" s="1"/>
  <c r="J8" i="11"/>
  <c r="M8" i="11" s="1"/>
  <c r="I8" i="11"/>
  <c r="L8" i="11" s="1"/>
  <c r="K25" i="1" s="1"/>
  <c r="K7" i="11"/>
  <c r="N7" i="11" s="1"/>
  <c r="J7" i="11"/>
  <c r="M7" i="11" s="1"/>
  <c r="I7" i="11"/>
  <c r="L7" i="11" s="1"/>
  <c r="J25" i="1" s="1"/>
  <c r="K6" i="11"/>
  <c r="N6" i="11" s="1"/>
  <c r="J6" i="11"/>
  <c r="M6" i="11" s="1"/>
  <c r="I6" i="11"/>
  <c r="L6" i="11" s="1"/>
  <c r="I25" i="1" s="1"/>
  <c r="K5" i="11"/>
  <c r="N5" i="11" s="1"/>
  <c r="J5" i="11"/>
  <c r="M5" i="11" s="1"/>
  <c r="I5" i="11"/>
  <c r="L5" i="11" s="1"/>
  <c r="H25" i="1" s="1"/>
  <c r="J4" i="11"/>
  <c r="M4" i="11" s="1"/>
  <c r="I4" i="11"/>
  <c r="L4" i="11" s="1"/>
  <c r="G25" i="1" s="1"/>
  <c r="N121" i="11" l="1"/>
  <c r="L121" i="11"/>
  <c r="L122" i="11"/>
  <c r="G23" i="1"/>
  <c r="L127" i="11"/>
  <c r="N132" i="11"/>
  <c r="N133" i="11"/>
  <c r="L134" i="11"/>
  <c r="N125" i="11"/>
  <c r="K46" i="1" s="1"/>
  <c r="M128" i="11"/>
  <c r="L130" i="11"/>
  <c r="N123" i="11"/>
  <c r="I46" i="1" s="1"/>
  <c r="M124" i="11"/>
  <c r="J38" i="1" s="1"/>
  <c r="L126" i="11"/>
  <c r="N131" i="11"/>
  <c r="M132" i="11"/>
  <c r="M126" i="11"/>
  <c r="M38" i="1" s="1"/>
  <c r="L128" i="11"/>
  <c r="M134" i="11"/>
  <c r="N127" i="11"/>
  <c r="G46" i="1"/>
  <c r="M122" i="11"/>
  <c r="H38" i="1" s="1"/>
  <c r="L124" i="11"/>
  <c r="N129" i="11"/>
  <c r="L46" i="1" s="1"/>
  <c r="M130" i="11"/>
  <c r="L132" i="11"/>
  <c r="L123" i="11"/>
  <c r="L131" i="11"/>
  <c r="L129" i="11"/>
  <c r="L125" i="11"/>
  <c r="M131" i="11"/>
  <c r="N124" i="11"/>
  <c r="J46" i="1" s="1"/>
  <c r="N128" i="11"/>
  <c r="N130" i="11"/>
  <c r="L133" i="11"/>
  <c r="M123" i="11"/>
  <c r="I38" i="1" s="1"/>
  <c r="M125" i="11"/>
  <c r="K38" i="1" s="1"/>
  <c r="M127" i="11"/>
  <c r="M129" i="11"/>
  <c r="L38" i="1" s="1"/>
  <c r="N122" i="11"/>
  <c r="H46" i="1" s="1"/>
  <c r="N126" i="11"/>
  <c r="N134" i="11"/>
  <c r="M121" i="11"/>
  <c r="G38" i="1" s="1"/>
  <c r="M133" i="11"/>
  <c r="G66" i="1"/>
  <c r="N40" i="1"/>
  <c r="O40" i="1"/>
  <c r="P40" i="1"/>
  <c r="G67" i="1"/>
  <c r="Q3" i="1"/>
  <c r="J53" i="1" s="1"/>
  <c r="G50" i="1" l="1"/>
  <c r="P126" i="11"/>
  <c r="P129" i="11"/>
  <c r="P127" i="11"/>
  <c r="P125" i="11"/>
  <c r="P122" i="11"/>
  <c r="P124" i="11"/>
  <c r="P123" i="11"/>
  <c r="P128" i="11"/>
  <c r="P121" i="11"/>
  <c r="S121" i="11" s="1"/>
  <c r="G21" i="1"/>
  <c r="M46" i="1"/>
  <c r="A292" i="8"/>
  <c r="A290" i="8"/>
  <c r="A285" i="8"/>
  <c r="A283" i="8"/>
  <c r="A278" i="8"/>
  <c r="A276" i="8"/>
  <c r="A271" i="8"/>
  <c r="A269" i="8"/>
  <c r="A264" i="8"/>
  <c r="A262" i="8"/>
  <c r="A257" i="8"/>
  <c r="A255" i="8"/>
  <c r="A250" i="8"/>
  <c r="A248" i="8"/>
  <c r="A241" i="8"/>
  <c r="A242" i="8"/>
  <c r="A243" i="8"/>
  <c r="A236" i="8"/>
  <c r="A234" i="8"/>
  <c r="A520" i="7"/>
  <c r="A518" i="7"/>
  <c r="A513" i="7"/>
  <c r="A511" i="7"/>
  <c r="A506" i="7"/>
  <c r="A504" i="7"/>
  <c r="A499" i="7"/>
  <c r="A497" i="7"/>
  <c r="A492" i="7"/>
  <c r="A490" i="7"/>
  <c r="A485" i="7"/>
  <c r="A483" i="7"/>
  <c r="A478" i="7"/>
  <c r="A476" i="7"/>
  <c r="A471" i="7"/>
  <c r="A469" i="7"/>
  <c r="A464" i="7"/>
  <c r="A462" i="7"/>
  <c r="A273" i="6" l="1"/>
  <c r="A274" i="6"/>
  <c r="A275" i="6"/>
  <c r="A282" i="6"/>
  <c r="A280" i="6"/>
  <c r="A289" i="6"/>
  <c r="A287" i="6"/>
  <c r="A296" i="6"/>
  <c r="A294" i="6"/>
  <c r="A303" i="6"/>
  <c r="A301" i="6"/>
  <c r="A310" i="6"/>
  <c r="A308" i="6"/>
  <c r="A317" i="6"/>
  <c r="A315" i="6"/>
  <c r="A324" i="6"/>
  <c r="A322" i="6"/>
  <c r="F82" i="1" l="1"/>
  <c r="A333" i="5" l="1"/>
  <c r="A332" i="5"/>
  <c r="A331" i="5"/>
  <c r="A330" i="5"/>
  <c r="A329" i="5"/>
  <c r="A322" i="5"/>
  <c r="A323" i="5"/>
  <c r="A324" i="5"/>
  <c r="A325" i="5"/>
  <c r="A326" i="5"/>
  <c r="A315" i="5"/>
  <c r="A316" i="5"/>
  <c r="A317" i="5"/>
  <c r="A318" i="5"/>
  <c r="A319" i="5"/>
  <c r="A308" i="5"/>
  <c r="A309" i="5"/>
  <c r="A310" i="5"/>
  <c r="A311" i="5"/>
  <c r="A312" i="5"/>
  <c r="A301" i="5"/>
  <c r="A302" i="5"/>
  <c r="A303" i="5"/>
  <c r="A304" i="5"/>
  <c r="A305" i="5"/>
  <c r="A294" i="5"/>
  <c r="A295" i="5"/>
  <c r="A296" i="5"/>
  <c r="A297" i="5"/>
  <c r="A298" i="5"/>
  <c r="A273" i="5"/>
  <c r="A274" i="5"/>
  <c r="A275" i="5"/>
  <c r="A276" i="5"/>
  <c r="A277" i="5"/>
  <c r="A287" i="5"/>
  <c r="A288" i="5"/>
  <c r="A289" i="5"/>
  <c r="A352" i="8"/>
  <c r="A351" i="8"/>
  <c r="A350" i="8"/>
  <c r="A349" i="8"/>
  <c r="J39" i="9"/>
  <c r="K39" i="9"/>
  <c r="L39" i="9"/>
  <c r="A360" i="6"/>
  <c r="A359" i="6"/>
  <c r="A358" i="6"/>
  <c r="A357" i="6"/>
  <c r="A356" i="6"/>
  <c r="A355" i="6"/>
  <c r="A354" i="6"/>
  <c r="A353" i="6"/>
  <c r="A352" i="6"/>
  <c r="A614" i="7"/>
  <c r="A613" i="7"/>
  <c r="A612" i="7"/>
  <c r="A611" i="7"/>
  <c r="A395" i="5" l="1"/>
  <c r="A396" i="5"/>
  <c r="A397" i="5"/>
  <c r="A398" i="5"/>
  <c r="A399" i="5"/>
  <c r="A400" i="5"/>
  <c r="A392" i="5"/>
  <c r="A393" i="5"/>
  <c r="A394" i="5"/>
  <c r="A282" i="5"/>
  <c r="A280" i="5"/>
  <c r="L3" i="1"/>
  <c r="N3" i="1"/>
  <c r="L34" i="9"/>
  <c r="L35" i="9"/>
  <c r="K34" i="9"/>
  <c r="K35" i="9"/>
  <c r="J34" i="9"/>
  <c r="J35" i="9"/>
  <c r="B55" i="1" l="1"/>
  <c r="B75" i="1" l="1"/>
  <c r="B64" i="1"/>
  <c r="N4" i="1"/>
  <c r="L4" i="1"/>
  <c r="J4" i="1"/>
  <c r="H4" i="1"/>
  <c r="M22" i="1" l="1"/>
  <c r="K22" i="1"/>
  <c r="O22" i="1"/>
  <c r="J22" i="1"/>
  <c r="H22" i="1"/>
  <c r="N22" i="1"/>
  <c r="I22" i="1"/>
  <c r="P22" i="1"/>
  <c r="G3" i="1"/>
  <c r="I3" i="1"/>
  <c r="K3" i="1"/>
  <c r="A347" i="8" l="1"/>
  <c r="A346" i="8"/>
  <c r="A345" i="8"/>
  <c r="A344" i="8"/>
  <c r="A342" i="8"/>
  <c r="A341" i="8"/>
  <c r="A340" i="8"/>
  <c r="A339" i="8"/>
  <c r="A338" i="8"/>
  <c r="A337" i="8"/>
  <c r="A336" i="8"/>
  <c r="A335" i="8"/>
  <c r="A334" i="8"/>
  <c r="A333" i="8"/>
  <c r="A609" i="7"/>
  <c r="A608" i="7"/>
  <c r="A607" i="7"/>
  <c r="A606" i="7"/>
  <c r="A593" i="7"/>
  <c r="A592" i="7"/>
  <c r="A591" i="7"/>
  <c r="A590" i="7"/>
  <c r="A589" i="7"/>
  <c r="A588" i="7"/>
  <c r="A587" i="7"/>
  <c r="A586" i="7"/>
  <c r="A585" i="7"/>
  <c r="A584" i="7"/>
  <c r="A583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L38" i="9"/>
  <c r="K38" i="9"/>
  <c r="J38" i="9"/>
  <c r="L36" i="9"/>
  <c r="K36" i="9"/>
  <c r="J36" i="9"/>
  <c r="L37" i="9"/>
  <c r="K37" i="9"/>
  <c r="J37" i="9"/>
  <c r="A387" i="5"/>
  <c r="A386" i="5"/>
  <c r="A385" i="5"/>
  <c r="A384" i="5"/>
  <c r="A383" i="5"/>
  <c r="A382" i="5"/>
  <c r="A381" i="5"/>
  <c r="A380" i="5"/>
  <c r="A379" i="5"/>
  <c r="A378" i="5"/>
  <c r="A377" i="5"/>
  <c r="A290" i="5"/>
  <c r="O4" i="1" l="1"/>
  <c r="H3" i="1"/>
  <c r="J3" i="1"/>
  <c r="M3" i="1"/>
  <c r="M4" i="1"/>
  <c r="K4" i="1"/>
  <c r="I4" i="1"/>
  <c r="G4" i="1"/>
  <c r="P4" i="1" l="1"/>
  <c r="B394" i="6" l="1"/>
  <c r="B352" i="8"/>
  <c r="B613" i="7"/>
  <c r="B349" i="8"/>
  <c r="B614" i="7"/>
  <c r="B397" i="6"/>
  <c r="B351" i="8"/>
  <c r="B612" i="7"/>
  <c r="B395" i="6"/>
  <c r="B350" i="8"/>
  <c r="B611" i="7"/>
  <c r="B396" i="6"/>
  <c r="AI40" i="3"/>
  <c r="AE40" i="3"/>
  <c r="Y40" i="3"/>
  <c r="U40" i="3"/>
  <c r="O40" i="3"/>
  <c r="K40" i="3"/>
  <c r="E40" i="3"/>
  <c r="AG40" i="3"/>
  <c r="W40" i="3"/>
  <c r="Q40" i="3"/>
  <c r="G40" i="3"/>
  <c r="Z40" i="3"/>
  <c r="V40" i="3"/>
  <c r="L40" i="3"/>
  <c r="B40" i="3"/>
  <c r="AH40" i="3"/>
  <c r="AD40" i="3"/>
  <c r="X40" i="3"/>
  <c r="T40" i="3"/>
  <c r="N40" i="3"/>
  <c r="H40" i="3"/>
  <c r="D40" i="3"/>
  <c r="AC40" i="3"/>
  <c r="M40" i="3"/>
  <c r="C40" i="3"/>
  <c r="AF40" i="3"/>
  <c r="P40" i="3"/>
  <c r="F40" i="3"/>
  <c r="P12" i="2"/>
  <c r="M12" i="2"/>
  <c r="Q12" i="2"/>
  <c r="N12" i="2"/>
  <c r="R12" i="2"/>
  <c r="O12" i="2"/>
  <c r="S12" i="2"/>
  <c r="M11" i="2"/>
  <c r="F40" i="2"/>
  <c r="I40" i="2"/>
  <c r="E40" i="2"/>
  <c r="H40" i="2"/>
  <c r="D40" i="2"/>
  <c r="G40" i="2"/>
  <c r="C40" i="2"/>
  <c r="D39" i="2"/>
  <c r="D38" i="2"/>
  <c r="H39" i="2"/>
  <c r="F37" i="2"/>
  <c r="I37" i="2"/>
  <c r="I38" i="2"/>
  <c r="I39" i="2"/>
  <c r="G37" i="2"/>
  <c r="G39" i="2"/>
  <c r="E37" i="2"/>
  <c r="E38" i="2"/>
  <c r="E39" i="2"/>
  <c r="C37" i="2"/>
  <c r="G38" i="2"/>
  <c r="C39" i="2"/>
  <c r="H37" i="2"/>
  <c r="H38" i="2"/>
  <c r="C38" i="2"/>
  <c r="F38" i="2"/>
  <c r="F39" i="2"/>
  <c r="D37" i="2"/>
  <c r="U38" i="3"/>
  <c r="C38" i="3"/>
  <c r="D38" i="3"/>
  <c r="O38" i="3"/>
  <c r="Z38" i="3"/>
  <c r="AD39" i="3"/>
  <c r="V39" i="3"/>
  <c r="F39" i="3"/>
  <c r="Q39" i="3"/>
  <c r="AD38" i="3"/>
  <c r="D39" i="3"/>
  <c r="F38" i="3"/>
  <c r="Q38" i="3"/>
  <c r="U39" i="3"/>
  <c r="AF39" i="3"/>
  <c r="N38" i="3"/>
  <c r="H38" i="3"/>
  <c r="L39" i="3"/>
  <c r="W39" i="3"/>
  <c r="AH39" i="3"/>
  <c r="AC39" i="3"/>
  <c r="L38" i="3"/>
  <c r="W38" i="3"/>
  <c r="AH38" i="3"/>
  <c r="O39" i="3"/>
  <c r="C39" i="3"/>
  <c r="N39" i="3"/>
  <c r="Y39" i="3"/>
  <c r="H39" i="3"/>
  <c r="Y38" i="3"/>
  <c r="E39" i="3"/>
  <c r="P39" i="3"/>
  <c r="AC38" i="3"/>
  <c r="G38" i="3"/>
  <c r="E38" i="3"/>
  <c r="P38" i="3"/>
  <c r="T39" i="3"/>
  <c r="AE39" i="3"/>
  <c r="Z39" i="3"/>
  <c r="G39" i="3"/>
  <c r="T38" i="3"/>
  <c r="AE38" i="3"/>
  <c r="AF38" i="3"/>
  <c r="K38" i="3"/>
  <c r="V38" i="3"/>
  <c r="AG38" i="3"/>
  <c r="K39" i="3"/>
  <c r="B39" i="3"/>
  <c r="M39" i="3"/>
  <c r="X39" i="3"/>
  <c r="AI39" i="3"/>
  <c r="B38" i="3"/>
  <c r="M38" i="3"/>
  <c r="X38" i="3"/>
  <c r="AI38" i="3"/>
  <c r="AG39" i="3"/>
  <c r="N11" i="2"/>
  <c r="Q11" i="2"/>
  <c r="P10" i="2"/>
  <c r="R11" i="2"/>
  <c r="M10" i="2"/>
  <c r="P11" i="2"/>
  <c r="S10" i="2"/>
  <c r="O10" i="2"/>
  <c r="S11" i="2"/>
  <c r="O11" i="2"/>
  <c r="R10" i="2"/>
  <c r="N10" i="2"/>
  <c r="Q10" i="2"/>
  <c r="M9" i="2"/>
  <c r="G12" i="1" l="1"/>
  <c r="A369" i="5"/>
  <c r="O2" i="1" l="1"/>
  <c r="G69" i="1" l="1"/>
  <c r="G71" i="1"/>
  <c r="B76" i="1"/>
  <c r="B65" i="1"/>
  <c r="M50" i="1" l="1"/>
  <c r="X37" i="3"/>
  <c r="K94" i="1" s="1"/>
  <c r="AG37" i="3"/>
  <c r="K95" i="1" s="1"/>
  <c r="AC37" i="3"/>
  <c r="G95" i="1" s="1"/>
  <c r="W37" i="3"/>
  <c r="J94" i="1" s="1"/>
  <c r="Q37" i="3"/>
  <c r="M93" i="1" s="1"/>
  <c r="N37" i="3"/>
  <c r="J93" i="1" s="1"/>
  <c r="AF37" i="3"/>
  <c r="J95" i="1" s="1"/>
  <c r="Z37" i="3"/>
  <c r="M94" i="1" s="1"/>
  <c r="V37" i="3"/>
  <c r="I94" i="1" s="1"/>
  <c r="H37" i="3"/>
  <c r="M92" i="1" s="1"/>
  <c r="M37" i="3"/>
  <c r="I93" i="1" s="1"/>
  <c r="AI37" i="3"/>
  <c r="M95" i="1" s="1"/>
  <c r="AE37" i="3"/>
  <c r="I95" i="1" s="1"/>
  <c r="Y37" i="3"/>
  <c r="L94" i="1" s="1"/>
  <c r="U37" i="3"/>
  <c r="H94" i="1" s="1"/>
  <c r="P37" i="3"/>
  <c r="L93" i="1" s="1"/>
  <c r="L37" i="3"/>
  <c r="H93" i="1" s="1"/>
  <c r="AH37" i="3"/>
  <c r="L95" i="1" s="1"/>
  <c r="AD37" i="3"/>
  <c r="H95" i="1" s="1"/>
  <c r="T37" i="3"/>
  <c r="G94" i="1" s="1"/>
  <c r="O37" i="3"/>
  <c r="K93" i="1" s="1"/>
  <c r="K37" i="3"/>
  <c r="G93" i="1" s="1"/>
  <c r="E37" i="3"/>
  <c r="J92" i="1" s="1"/>
  <c r="S9" i="2"/>
  <c r="M12" i="1" s="1"/>
  <c r="O9" i="2"/>
  <c r="I12" i="1" s="1"/>
  <c r="D37" i="3"/>
  <c r="I92" i="1" s="1"/>
  <c r="R9" i="2"/>
  <c r="L12" i="1" s="1"/>
  <c r="N9" i="2"/>
  <c r="H12" i="1" s="1"/>
  <c r="G37" i="3"/>
  <c r="L92" i="1" s="1"/>
  <c r="C37" i="3"/>
  <c r="H92" i="1" s="1"/>
  <c r="Q9" i="2"/>
  <c r="K12" i="1" s="1"/>
  <c r="F37" i="3"/>
  <c r="K92" i="1" s="1"/>
  <c r="B37" i="3"/>
  <c r="G92" i="1" s="1"/>
  <c r="P9" i="2"/>
  <c r="J12" i="1" s="1"/>
  <c r="A352" i="5"/>
  <c r="A375" i="5"/>
  <c r="A374" i="5"/>
  <c r="A373" i="5"/>
  <c r="A372" i="5"/>
  <c r="A371" i="5"/>
  <c r="A370" i="5"/>
  <c r="A368" i="5"/>
  <c r="A367" i="5"/>
  <c r="A366" i="5"/>
  <c r="A365" i="5"/>
  <c r="A364" i="5"/>
  <c r="B81" i="1"/>
  <c r="L33" i="9" l="1"/>
  <c r="K33" i="9"/>
  <c r="J33" i="9"/>
  <c r="A546" i="7"/>
  <c r="A547" i="7"/>
  <c r="A548" i="7"/>
  <c r="A549" i="7"/>
  <c r="A550" i="7"/>
  <c r="A551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10" i="7"/>
  <c r="A552" i="7"/>
  <c r="A553" i="7"/>
  <c r="A554" i="7"/>
  <c r="A555" i="7"/>
  <c r="A556" i="7"/>
  <c r="A557" i="7"/>
  <c r="A558" i="7"/>
  <c r="A559" i="7"/>
  <c r="A560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349" i="5"/>
  <c r="A348" i="5"/>
  <c r="A350" i="5"/>
  <c r="A351" i="5"/>
  <c r="M10" i="1"/>
  <c r="L10" i="1"/>
  <c r="K10" i="1"/>
  <c r="J10" i="1"/>
  <c r="I10" i="1"/>
  <c r="H10" i="1"/>
  <c r="G10" i="1"/>
  <c r="L3" i="9" l="1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2" i="9"/>
  <c r="L22" i="1" l="1"/>
  <c r="G97" i="1"/>
  <c r="M19" i="1" s="1"/>
  <c r="M18" i="1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5" i="8"/>
  <c r="A237" i="8"/>
  <c r="A238" i="8"/>
  <c r="A239" i="8"/>
  <c r="A240" i="8"/>
  <c r="A244" i="8"/>
  <c r="A245" i="8"/>
  <c r="A246" i="8"/>
  <c r="A247" i="8"/>
  <c r="A249" i="8"/>
  <c r="A251" i="8"/>
  <c r="A252" i="8"/>
  <c r="A253" i="8"/>
  <c r="A254" i="8"/>
  <c r="A256" i="8"/>
  <c r="A258" i="8"/>
  <c r="A259" i="8"/>
  <c r="A260" i="8"/>
  <c r="A261" i="8"/>
  <c r="A263" i="8"/>
  <c r="A265" i="8"/>
  <c r="A266" i="8"/>
  <c r="A267" i="8"/>
  <c r="A268" i="8"/>
  <c r="A270" i="8"/>
  <c r="A272" i="8"/>
  <c r="A273" i="8"/>
  <c r="A274" i="8"/>
  <c r="A275" i="8"/>
  <c r="A277" i="8"/>
  <c r="A279" i="8"/>
  <c r="A280" i="8"/>
  <c r="A281" i="8"/>
  <c r="A282" i="8"/>
  <c r="A284" i="8"/>
  <c r="A286" i="8"/>
  <c r="A287" i="8"/>
  <c r="A288" i="8"/>
  <c r="A289" i="8"/>
  <c r="A291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43" i="8"/>
  <c r="A348" i="8"/>
  <c r="A312" i="8"/>
  <c r="A313" i="8"/>
  <c r="A314" i="8"/>
  <c r="A315" i="8"/>
  <c r="A316" i="8"/>
  <c r="A317" i="8"/>
  <c r="A318" i="8"/>
  <c r="A319" i="8"/>
  <c r="A320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O6" i="1"/>
  <c r="A516" i="7"/>
  <c r="A517" i="7"/>
  <c r="A519" i="7"/>
  <c r="A521" i="7"/>
  <c r="A522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3" i="7"/>
  <c r="A465" i="7"/>
  <c r="A466" i="7"/>
  <c r="A467" i="7"/>
  <c r="A468" i="7"/>
  <c r="A470" i="7"/>
  <c r="A472" i="7"/>
  <c r="A473" i="7"/>
  <c r="A474" i="7"/>
  <c r="A475" i="7"/>
  <c r="A477" i="7"/>
  <c r="A479" i="7"/>
  <c r="A480" i="7"/>
  <c r="A481" i="7"/>
  <c r="A482" i="7"/>
  <c r="A484" i="7"/>
  <c r="A486" i="7"/>
  <c r="A487" i="7"/>
  <c r="A488" i="7"/>
  <c r="A489" i="7"/>
  <c r="A491" i="7"/>
  <c r="A493" i="7"/>
  <c r="A494" i="7"/>
  <c r="A495" i="7"/>
  <c r="A496" i="7"/>
  <c r="A498" i="7"/>
  <c r="A500" i="7"/>
  <c r="A501" i="7"/>
  <c r="A502" i="7"/>
  <c r="A503" i="7"/>
  <c r="A505" i="7"/>
  <c r="A507" i="7"/>
  <c r="A508" i="7"/>
  <c r="A509" i="7"/>
  <c r="A510" i="7"/>
  <c r="A512" i="7"/>
  <c r="A514" i="7"/>
  <c r="A515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2" i="7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8" i="5"/>
  <c r="A279" i="5"/>
  <c r="A281" i="5"/>
  <c r="A283" i="5"/>
  <c r="A284" i="5"/>
  <c r="A285" i="5"/>
  <c r="A286" i="5"/>
  <c r="A291" i="5"/>
  <c r="A292" i="5"/>
  <c r="A293" i="5"/>
  <c r="A299" i="5"/>
  <c r="A300" i="5"/>
  <c r="A306" i="5"/>
  <c r="A307" i="5"/>
  <c r="A313" i="5"/>
  <c r="A314" i="5"/>
  <c r="A320" i="5"/>
  <c r="A321" i="5"/>
  <c r="A327" i="5"/>
  <c r="A328" i="5"/>
  <c r="A334" i="5"/>
  <c r="A363" i="5"/>
  <c r="A376" i="5"/>
  <c r="A388" i="5"/>
  <c r="A389" i="5"/>
  <c r="A390" i="5"/>
  <c r="A391" i="5"/>
  <c r="A354" i="5"/>
  <c r="A355" i="5"/>
  <c r="A356" i="5"/>
  <c r="A357" i="5"/>
  <c r="A358" i="5"/>
  <c r="A359" i="5"/>
  <c r="A360" i="5"/>
  <c r="A361" i="5"/>
  <c r="A362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2" i="5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6" i="6"/>
  <c r="A277" i="6"/>
  <c r="A278" i="6"/>
  <c r="A279" i="6"/>
  <c r="A281" i="6"/>
  <c r="A283" i="6"/>
  <c r="A284" i="6"/>
  <c r="A285" i="6"/>
  <c r="A286" i="6"/>
  <c r="A288" i="6"/>
  <c r="A290" i="6"/>
  <c r="A291" i="6"/>
  <c r="A292" i="6"/>
  <c r="A293" i="6"/>
  <c r="A295" i="6"/>
  <c r="A297" i="6"/>
  <c r="A298" i="6"/>
  <c r="A299" i="6"/>
  <c r="A300" i="6"/>
  <c r="A302" i="6"/>
  <c r="A304" i="6"/>
  <c r="A305" i="6"/>
  <c r="A306" i="6"/>
  <c r="A307" i="6"/>
  <c r="A309" i="6"/>
  <c r="A311" i="6"/>
  <c r="A312" i="6"/>
  <c r="A313" i="6"/>
  <c r="A314" i="6"/>
  <c r="A316" i="6"/>
  <c r="A318" i="6"/>
  <c r="A319" i="6"/>
  <c r="A320" i="6"/>
  <c r="A321" i="6"/>
  <c r="A323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" i="6"/>
  <c r="F20" i="1"/>
  <c r="B53" i="1"/>
  <c r="E21" i="1"/>
  <c r="G53" i="1"/>
  <c r="B74" i="1"/>
  <c r="B73" i="1"/>
  <c r="B62" i="1"/>
  <c r="B52" i="1"/>
  <c r="E11" i="1"/>
  <c r="P36" i="1"/>
  <c r="O36" i="1"/>
  <c r="N36" i="1"/>
  <c r="M36" i="1"/>
  <c r="L36" i="1"/>
  <c r="K36" i="1"/>
  <c r="J36" i="1"/>
  <c r="I36" i="1"/>
  <c r="H36" i="1"/>
  <c r="G36" i="1"/>
  <c r="E32" i="1"/>
  <c r="E31" i="1"/>
  <c r="E30" i="1"/>
  <c r="E29" i="1"/>
  <c r="E28" i="1"/>
  <c r="E27" i="1"/>
  <c r="E26" i="1"/>
  <c r="E25" i="1"/>
  <c r="B63" i="1"/>
  <c r="C88" i="1"/>
  <c r="C87" i="1"/>
  <c r="E42" i="1"/>
  <c r="E41" i="1"/>
  <c r="B54" i="1"/>
  <c r="E47" i="1"/>
  <c r="E46" i="1"/>
  <c r="E45" i="1"/>
  <c r="E44" i="1"/>
  <c r="E43" i="1"/>
  <c r="F12" i="1"/>
  <c r="E40" i="1"/>
  <c r="E39" i="1"/>
  <c r="E38" i="1"/>
  <c r="E37" i="1"/>
  <c r="E36" i="1"/>
  <c r="E35" i="1"/>
  <c r="E34" i="1"/>
  <c r="E33" i="1"/>
  <c r="F32" i="1"/>
  <c r="F31" i="1"/>
  <c r="F30" i="1"/>
  <c r="F29" i="1"/>
  <c r="F28" i="1"/>
  <c r="F27" i="1"/>
  <c r="F26" i="1"/>
  <c r="F25" i="1"/>
  <c r="F24" i="1"/>
  <c r="E24" i="1"/>
  <c r="E23" i="1"/>
  <c r="E49" i="1"/>
  <c r="E48" i="1"/>
  <c r="C44" i="1"/>
  <c r="C35" i="1"/>
  <c r="C33" i="1"/>
  <c r="C23" i="1"/>
  <c r="C17" i="1"/>
  <c r="C16" i="1"/>
  <c r="C15" i="1"/>
  <c r="C14" i="1"/>
  <c r="C13" i="1"/>
  <c r="C12" i="1"/>
  <c r="F21" i="1"/>
  <c r="C21" i="1"/>
  <c r="C11" i="1"/>
  <c r="E20" i="1"/>
  <c r="E19" i="1"/>
  <c r="E18" i="1"/>
  <c r="F19" i="1"/>
  <c r="F18" i="1"/>
  <c r="H43" i="1"/>
  <c r="I43" i="1"/>
  <c r="J43" i="1"/>
  <c r="K43" i="1"/>
  <c r="L43" i="1"/>
  <c r="M43" i="1"/>
  <c r="N43" i="1"/>
  <c r="O43" i="1"/>
  <c r="P43" i="1"/>
  <c r="H44" i="1"/>
  <c r="I44" i="1"/>
  <c r="J44" i="1"/>
  <c r="K44" i="1"/>
  <c r="L44" i="1"/>
  <c r="M44" i="1"/>
  <c r="N44" i="1"/>
  <c r="O44" i="1"/>
  <c r="P44" i="1"/>
  <c r="H45" i="1"/>
  <c r="I45" i="1"/>
  <c r="J45" i="1"/>
  <c r="K45" i="1"/>
  <c r="L45" i="1"/>
  <c r="M45" i="1"/>
  <c r="N45" i="1"/>
  <c r="O45" i="1"/>
  <c r="P45" i="1"/>
  <c r="G44" i="1"/>
  <c r="G45" i="1"/>
  <c r="G43" i="1"/>
  <c r="H37" i="1"/>
  <c r="I37" i="1"/>
  <c r="J37" i="1"/>
  <c r="K37" i="1"/>
  <c r="L37" i="1"/>
  <c r="M37" i="1"/>
  <c r="N37" i="1"/>
  <c r="O37" i="1"/>
  <c r="P37" i="1"/>
  <c r="H39" i="1"/>
  <c r="I39" i="1"/>
  <c r="J39" i="1"/>
  <c r="K39" i="1"/>
  <c r="L39" i="1"/>
  <c r="M39" i="1"/>
  <c r="N39" i="1"/>
  <c r="O39" i="1"/>
  <c r="P39" i="1"/>
  <c r="G39" i="1"/>
  <c r="G37" i="1"/>
  <c r="H35" i="1"/>
  <c r="I35" i="1"/>
  <c r="J35" i="1"/>
  <c r="K35" i="1"/>
  <c r="L35" i="1"/>
  <c r="M35" i="1"/>
  <c r="N35" i="1"/>
  <c r="O35" i="1"/>
  <c r="P35" i="1"/>
  <c r="G35" i="1"/>
  <c r="I34" i="1"/>
  <c r="J34" i="1"/>
  <c r="K34" i="1"/>
  <c r="L34" i="1"/>
  <c r="M34" i="1"/>
  <c r="N34" i="1"/>
  <c r="O34" i="1"/>
  <c r="P34" i="1"/>
  <c r="I33" i="1"/>
  <c r="J33" i="1"/>
  <c r="K33" i="1"/>
  <c r="L33" i="1"/>
  <c r="M33" i="1"/>
  <c r="N33" i="1"/>
  <c r="O33" i="1"/>
  <c r="P33" i="1"/>
  <c r="H34" i="1"/>
  <c r="H33" i="1"/>
  <c r="G34" i="1"/>
  <c r="G33" i="1"/>
  <c r="P17" i="1"/>
  <c r="O17" i="1"/>
  <c r="N17" i="1"/>
  <c r="P12" i="1"/>
  <c r="O12" i="1"/>
  <c r="N12" i="1"/>
  <c r="F17" i="1"/>
  <c r="P8" i="1"/>
  <c r="N8" i="1"/>
  <c r="O8" i="1"/>
  <c r="K8" i="1"/>
  <c r="J8" i="1"/>
  <c r="I8" i="1"/>
  <c r="H8" i="1"/>
  <c r="G8" i="1"/>
  <c r="M8" i="1"/>
  <c r="L8" i="1"/>
  <c r="E17" i="1"/>
  <c r="E12" i="1"/>
  <c r="F11" i="1"/>
  <c r="B21" i="1"/>
  <c r="B11" i="1"/>
  <c r="B10" i="1"/>
  <c r="B6" i="1"/>
  <c r="M6" i="1"/>
  <c r="P6" i="1"/>
  <c r="N23" i="1"/>
  <c r="N21" i="1" s="1"/>
  <c r="O23" i="1"/>
  <c r="O21" i="1" s="1"/>
  <c r="P23" i="1"/>
  <c r="P21" i="1" s="1"/>
  <c r="I18" i="1" l="1"/>
  <c r="J19" i="1"/>
  <c r="J18" i="1"/>
  <c r="K19" i="1"/>
  <c r="G19" i="1"/>
  <c r="G18" i="1"/>
  <c r="K18" i="1"/>
  <c r="H19" i="1"/>
  <c r="L19" i="1"/>
  <c r="H18" i="1"/>
  <c r="L18" i="1"/>
  <c r="I19" i="1"/>
  <c r="AI107" i="1"/>
  <c r="AI103" i="1"/>
  <c r="AI109" i="1"/>
  <c r="AI112" i="1"/>
  <c r="AI108" i="1"/>
  <c r="AI101" i="1"/>
  <c r="AI104" i="1"/>
  <c r="AI110" i="1"/>
  <c r="AI111" i="1"/>
  <c r="AI106" i="1"/>
  <c r="AI105" i="1"/>
  <c r="AI102" i="1"/>
  <c r="B602" i="7"/>
  <c r="D569" i="7"/>
  <c r="C577" i="7"/>
  <c r="C590" i="7"/>
  <c r="C602" i="7"/>
  <c r="D577" i="7"/>
  <c r="D590" i="7"/>
  <c r="B590" i="7"/>
  <c r="C581" i="7"/>
  <c r="C598" i="7"/>
  <c r="D598" i="7"/>
  <c r="B598" i="7"/>
  <c r="D602" i="7"/>
  <c r="C569" i="7"/>
  <c r="D581" i="7"/>
  <c r="B362" i="6"/>
  <c r="D362" i="6"/>
  <c r="C362" i="6"/>
  <c r="D366" i="6"/>
  <c r="B366" i="6"/>
  <c r="D371" i="6"/>
  <c r="C373" i="6"/>
  <c r="D373" i="6"/>
  <c r="B371" i="6"/>
  <c r="C378" i="6"/>
  <c r="C385" i="6"/>
  <c r="B378" i="6"/>
  <c r="C366" i="6"/>
  <c r="D383" i="6"/>
  <c r="C371" i="6"/>
  <c r="B383" i="6"/>
  <c r="B373" i="6"/>
  <c r="C383" i="6"/>
  <c r="B385" i="6"/>
  <c r="D378" i="6"/>
  <c r="D385" i="6"/>
  <c r="C379" i="6"/>
  <c r="D384" i="6"/>
  <c r="C370" i="6"/>
  <c r="B377" i="6"/>
  <c r="C382" i="6"/>
  <c r="D387" i="6"/>
  <c r="C363" i="6"/>
  <c r="B376" i="6"/>
  <c r="D386" i="6"/>
  <c r="D381" i="6"/>
  <c r="D382" i="6"/>
  <c r="C380" i="6"/>
  <c r="D369" i="6"/>
  <c r="D380" i="6"/>
  <c r="B386" i="6"/>
  <c r="D370" i="6"/>
  <c r="D363" i="6"/>
  <c r="C367" i="6"/>
  <c r="D364" i="6"/>
  <c r="B367" i="6"/>
  <c r="C384" i="6"/>
  <c r="C369" i="6"/>
  <c r="C364" i="6"/>
  <c r="C365" i="6"/>
  <c r="D375" i="6"/>
  <c r="D376" i="6"/>
  <c r="B382" i="6"/>
  <c r="C387" i="6"/>
  <c r="D379" i="6"/>
  <c r="D367" i="6"/>
  <c r="C381" i="6"/>
  <c r="D372" i="6"/>
  <c r="B372" i="6"/>
  <c r="C376" i="6"/>
  <c r="B387" i="6"/>
  <c r="B363" i="6"/>
  <c r="B369" i="6"/>
  <c r="C377" i="6"/>
  <c r="D368" i="6"/>
  <c r="C372" i="6"/>
  <c r="B364" i="6"/>
  <c r="B375" i="6"/>
  <c r="B370" i="6"/>
  <c r="B381" i="6"/>
  <c r="C386" i="6"/>
  <c r="B384" i="6"/>
  <c r="C368" i="6"/>
  <c r="B379" i="6"/>
  <c r="D365" i="6"/>
  <c r="B368" i="6"/>
  <c r="B380" i="6"/>
  <c r="D377" i="6"/>
  <c r="C375" i="6"/>
  <c r="B365" i="6"/>
  <c r="P396" i="5"/>
  <c r="P397" i="5"/>
  <c r="P398" i="5"/>
  <c r="P399" i="5"/>
  <c r="H396" i="5"/>
  <c r="C398" i="5"/>
  <c r="D399" i="5"/>
  <c r="E396" i="5"/>
  <c r="J397" i="5"/>
  <c r="L398" i="5"/>
  <c r="M399" i="5"/>
  <c r="O396" i="5"/>
  <c r="O397" i="5"/>
  <c r="B399" i="5"/>
  <c r="C396" i="5"/>
  <c r="D397" i="5"/>
  <c r="B398" i="5"/>
  <c r="C399" i="5"/>
  <c r="D396" i="5"/>
  <c r="B397" i="5"/>
  <c r="F397" i="5"/>
  <c r="J396" i="5"/>
  <c r="N399" i="5"/>
  <c r="N398" i="5"/>
  <c r="E397" i="5"/>
  <c r="G398" i="5"/>
  <c r="H399" i="5"/>
  <c r="I396" i="5"/>
  <c r="N397" i="5"/>
  <c r="B396" i="5"/>
  <c r="C397" i="5"/>
  <c r="E398" i="5"/>
  <c r="F399" i="5"/>
  <c r="G396" i="5"/>
  <c r="H397" i="5"/>
  <c r="F398" i="5"/>
  <c r="G399" i="5"/>
  <c r="L396" i="5"/>
  <c r="M397" i="5"/>
  <c r="H398" i="5"/>
  <c r="K397" i="5"/>
  <c r="O399" i="5"/>
  <c r="I397" i="5"/>
  <c r="K398" i="5"/>
  <c r="L399" i="5"/>
  <c r="M396" i="5"/>
  <c r="D398" i="5"/>
  <c r="E399" i="5"/>
  <c r="F396" i="5"/>
  <c r="G397" i="5"/>
  <c r="I398" i="5"/>
  <c r="J399" i="5"/>
  <c r="K396" i="5"/>
  <c r="L397" i="5"/>
  <c r="J398" i="5"/>
  <c r="K399" i="5"/>
  <c r="N396" i="5"/>
  <c r="O398" i="5"/>
  <c r="I399" i="5"/>
  <c r="M398" i="5"/>
  <c r="B585" i="7"/>
  <c r="D595" i="7"/>
  <c r="C588" i="7"/>
  <c r="D593" i="7"/>
  <c r="B599" i="7"/>
  <c r="C604" i="7"/>
  <c r="D574" i="7"/>
  <c r="C571" i="7"/>
  <c r="C587" i="7"/>
  <c r="D592" i="7"/>
  <c r="C603" i="7"/>
  <c r="D571" i="7"/>
  <c r="C568" i="7"/>
  <c r="B597" i="7"/>
  <c r="D568" i="7"/>
  <c r="B588" i="7"/>
  <c r="C566" i="7"/>
  <c r="C589" i="7"/>
  <c r="D603" i="7"/>
  <c r="C601" i="7"/>
  <c r="C586" i="7"/>
  <c r="D591" i="7"/>
  <c r="C584" i="7"/>
  <c r="D589" i="7"/>
  <c r="B595" i="7"/>
  <c r="C600" i="7"/>
  <c r="B583" i="7"/>
  <c r="D578" i="7"/>
  <c r="C575" i="7"/>
  <c r="D588" i="7"/>
  <c r="B594" i="7"/>
  <c r="C599" i="7"/>
  <c r="D604" i="7"/>
  <c r="D575" i="7"/>
  <c r="C572" i="7"/>
  <c r="D599" i="7"/>
  <c r="D576" i="7"/>
  <c r="C593" i="7"/>
  <c r="C583" i="7"/>
  <c r="C574" i="7"/>
  <c r="D594" i="7"/>
  <c r="D564" i="7"/>
  <c r="B604" i="7"/>
  <c r="C570" i="7"/>
  <c r="B596" i="7"/>
  <c r="C578" i="7"/>
  <c r="D587" i="7"/>
  <c r="B593" i="7"/>
  <c r="D585" i="7"/>
  <c r="B591" i="7"/>
  <c r="C596" i="7"/>
  <c r="D601" i="7"/>
  <c r="D566" i="7"/>
  <c r="C563" i="7"/>
  <c r="C579" i="7"/>
  <c r="D584" i="7"/>
  <c r="C595" i="7"/>
  <c r="D600" i="7"/>
  <c r="D563" i="7"/>
  <c r="D579" i="7"/>
  <c r="C576" i="7"/>
  <c r="D586" i="7"/>
  <c r="C565" i="7"/>
  <c r="C597" i="7"/>
  <c r="D572" i="7"/>
  <c r="D565" i="7"/>
  <c r="B589" i="7"/>
  <c r="C594" i="7"/>
  <c r="B587" i="7"/>
  <c r="C592" i="7"/>
  <c r="D597" i="7"/>
  <c r="B603" i="7"/>
  <c r="D570" i="7"/>
  <c r="C567" i="7"/>
  <c r="B586" i="7"/>
  <c r="C591" i="7"/>
  <c r="D596" i="7"/>
  <c r="D567" i="7"/>
  <c r="C564" i="7"/>
  <c r="C580" i="7"/>
  <c r="B592" i="7"/>
  <c r="D583" i="7"/>
  <c r="C573" i="7"/>
  <c r="B600" i="7"/>
  <c r="B584" i="7"/>
  <c r="B601" i="7"/>
  <c r="D580" i="7"/>
  <c r="D573" i="7"/>
  <c r="C585" i="7"/>
  <c r="G20" i="1"/>
  <c r="B563" i="7"/>
  <c r="B567" i="7"/>
  <c r="B571" i="7"/>
  <c r="B575" i="7"/>
  <c r="B579" i="7"/>
  <c r="B564" i="7"/>
  <c r="B568" i="7"/>
  <c r="B572" i="7"/>
  <c r="B576" i="7"/>
  <c r="B580" i="7"/>
  <c r="B565" i="7"/>
  <c r="B569" i="7"/>
  <c r="B573" i="7"/>
  <c r="B577" i="7"/>
  <c r="B581" i="7"/>
  <c r="D562" i="7"/>
  <c r="C562" i="7"/>
  <c r="B566" i="7"/>
  <c r="B570" i="7"/>
  <c r="B574" i="7"/>
  <c r="B578" i="7"/>
  <c r="B562" i="7"/>
  <c r="E393" i="5"/>
  <c r="I394" i="5"/>
  <c r="H391" i="5"/>
  <c r="E378" i="5"/>
  <c r="I379" i="5"/>
  <c r="M380" i="5"/>
  <c r="E382" i="5"/>
  <c r="I383" i="5"/>
  <c r="M384" i="5"/>
  <c r="E386" i="5"/>
  <c r="I387" i="5"/>
  <c r="M388" i="5"/>
  <c r="E365" i="5"/>
  <c r="I366" i="5"/>
  <c r="M367" i="5"/>
  <c r="E369" i="5"/>
  <c r="I370" i="5"/>
  <c r="M371" i="5"/>
  <c r="F393" i="5"/>
  <c r="J394" i="5"/>
  <c r="G391" i="5"/>
  <c r="F378" i="5"/>
  <c r="J379" i="5"/>
  <c r="N380" i="5"/>
  <c r="F382" i="5"/>
  <c r="J383" i="5"/>
  <c r="N384" i="5"/>
  <c r="F386" i="5"/>
  <c r="G392" i="5"/>
  <c r="K393" i="5"/>
  <c r="O394" i="5"/>
  <c r="G377" i="5"/>
  <c r="K378" i="5"/>
  <c r="O379" i="5"/>
  <c r="G381" i="5"/>
  <c r="K382" i="5"/>
  <c r="O383" i="5"/>
  <c r="G385" i="5"/>
  <c r="K386" i="5"/>
  <c r="O387" i="5"/>
  <c r="G389" i="5"/>
  <c r="K365" i="5"/>
  <c r="O366" i="5"/>
  <c r="G368" i="5"/>
  <c r="K369" i="5"/>
  <c r="O370" i="5"/>
  <c r="G372" i="5"/>
  <c r="K373" i="5"/>
  <c r="O374" i="5"/>
  <c r="F371" i="5"/>
  <c r="L364" i="5"/>
  <c r="C379" i="5"/>
  <c r="B367" i="5"/>
  <c r="H377" i="5"/>
  <c r="L382" i="5"/>
  <c r="L387" i="5"/>
  <c r="L365" i="5"/>
  <c r="H368" i="5"/>
  <c r="F372" i="5"/>
  <c r="P375" i="5"/>
  <c r="D374" i="5"/>
  <c r="B388" i="5"/>
  <c r="M391" i="5"/>
  <c r="L381" i="5"/>
  <c r="P386" i="5"/>
  <c r="N389" i="5"/>
  <c r="F367" i="5"/>
  <c r="L373" i="5"/>
  <c r="C394" i="5"/>
  <c r="B375" i="5"/>
  <c r="P377" i="5"/>
  <c r="H383" i="5"/>
  <c r="P387" i="5"/>
  <c r="H365" i="5"/>
  <c r="P367" i="5"/>
  <c r="L370" i="5"/>
  <c r="N372" i="5"/>
  <c r="L374" i="5"/>
  <c r="O364" i="5"/>
  <c r="D378" i="5"/>
  <c r="D372" i="5"/>
  <c r="C384" i="5"/>
  <c r="E392" i="5"/>
  <c r="I393" i="5"/>
  <c r="M394" i="5"/>
  <c r="E377" i="5"/>
  <c r="I378" i="5"/>
  <c r="M379" i="5"/>
  <c r="E381" i="5"/>
  <c r="I382" i="5"/>
  <c r="M383" i="5"/>
  <c r="E385" i="5"/>
  <c r="I386" i="5"/>
  <c r="M387" i="5"/>
  <c r="E389" i="5"/>
  <c r="I365" i="5"/>
  <c r="M366" i="5"/>
  <c r="E368" i="5"/>
  <c r="I369" i="5"/>
  <c r="M370" i="5"/>
  <c r="F392" i="5"/>
  <c r="J393" i="5"/>
  <c r="N394" i="5"/>
  <c r="F377" i="5"/>
  <c r="J378" i="5"/>
  <c r="N379" i="5"/>
  <c r="F381" i="5"/>
  <c r="J382" i="5"/>
  <c r="N383" i="5"/>
  <c r="F385" i="5"/>
  <c r="J386" i="5"/>
  <c r="K392" i="5"/>
  <c r="O393" i="5"/>
  <c r="N391" i="5"/>
  <c r="K377" i="5"/>
  <c r="O378" i="5"/>
  <c r="G380" i="5"/>
  <c r="K381" i="5"/>
  <c r="O382" i="5"/>
  <c r="G384" i="5"/>
  <c r="K385" i="5"/>
  <c r="O386" i="5"/>
  <c r="G388" i="5"/>
  <c r="K389" i="5"/>
  <c r="O365" i="5"/>
  <c r="G367" i="5"/>
  <c r="K368" i="5"/>
  <c r="O369" i="5"/>
  <c r="G371" i="5"/>
  <c r="K372" i="5"/>
  <c r="O373" i="5"/>
  <c r="G375" i="5"/>
  <c r="F373" i="5"/>
  <c r="D377" i="5"/>
  <c r="C387" i="5"/>
  <c r="H392" i="5"/>
  <c r="L378" i="5"/>
  <c r="P383" i="5"/>
  <c r="H388" i="5"/>
  <c r="H366" i="5"/>
  <c r="P368" i="5"/>
  <c r="E373" i="5"/>
  <c r="I364" i="5"/>
  <c r="C382" i="5"/>
  <c r="B370" i="5"/>
  <c r="L377" i="5"/>
  <c r="P382" i="5"/>
  <c r="N387" i="5"/>
  <c r="F365" i="5"/>
  <c r="N367" i="5"/>
  <c r="M375" i="5"/>
  <c r="C365" i="5"/>
  <c r="P392" i="5"/>
  <c r="H379" i="5"/>
  <c r="L384" i="5"/>
  <c r="L388" i="5"/>
  <c r="P365" i="5"/>
  <c r="L368" i="5"/>
  <c r="H371" i="5"/>
  <c r="H373" i="5"/>
  <c r="E375" i="5"/>
  <c r="K364" i="5"/>
  <c r="D382" i="5"/>
  <c r="D364" i="5"/>
  <c r="C388" i="5"/>
  <c r="B393" i="5"/>
  <c r="I392" i="5"/>
  <c r="M393" i="5"/>
  <c r="P391" i="5"/>
  <c r="I377" i="5"/>
  <c r="M378" i="5"/>
  <c r="E380" i="5"/>
  <c r="I381" i="5"/>
  <c r="M382" i="5"/>
  <c r="E384" i="5"/>
  <c r="I385" i="5"/>
  <c r="M386" i="5"/>
  <c r="E388" i="5"/>
  <c r="I389" i="5"/>
  <c r="M365" i="5"/>
  <c r="E367" i="5"/>
  <c r="I368" i="5"/>
  <c r="M369" i="5"/>
  <c r="E371" i="5"/>
  <c r="J392" i="5"/>
  <c r="N393" i="5"/>
  <c r="O391" i="5"/>
  <c r="J377" i="5"/>
  <c r="N378" i="5"/>
  <c r="F380" i="5"/>
  <c r="J381" i="5"/>
  <c r="N382" i="5"/>
  <c r="F384" i="5"/>
  <c r="J385" i="5"/>
  <c r="N386" i="5"/>
  <c r="O392" i="5"/>
  <c r="G394" i="5"/>
  <c r="J391" i="5"/>
  <c r="O377" i="5"/>
  <c r="G379" i="5"/>
  <c r="K380" i="5"/>
  <c r="O381" i="5"/>
  <c r="G383" i="5"/>
  <c r="K384" i="5"/>
  <c r="O385" i="5"/>
  <c r="G387" i="5"/>
  <c r="K388" i="5"/>
  <c r="O389" i="5"/>
  <c r="G366" i="5"/>
  <c r="K367" i="5"/>
  <c r="O368" i="5"/>
  <c r="G370" i="5"/>
  <c r="K371" i="5"/>
  <c r="O372" i="5"/>
  <c r="G374" i="5"/>
  <c r="D370" i="5"/>
  <c r="J374" i="5"/>
  <c r="D389" i="5"/>
  <c r="C373" i="5"/>
  <c r="L393" i="5"/>
  <c r="P379" i="5"/>
  <c r="H385" i="5"/>
  <c r="P388" i="5"/>
  <c r="P366" i="5"/>
  <c r="H370" i="5"/>
  <c r="I374" i="5"/>
  <c r="D380" i="5"/>
  <c r="C364" i="5"/>
  <c r="L392" i="5"/>
  <c r="P378" i="5"/>
  <c r="H384" i="5"/>
  <c r="J388" i="5"/>
  <c r="N365" i="5"/>
  <c r="N369" i="5"/>
  <c r="D392" i="5"/>
  <c r="B392" i="5"/>
  <c r="H394" i="5"/>
  <c r="L380" i="5"/>
  <c r="P385" i="5"/>
  <c r="H389" i="5"/>
  <c r="L366" i="5"/>
  <c r="H369" i="5"/>
  <c r="P371" i="5"/>
  <c r="M373" i="5"/>
  <c r="J375" i="5"/>
  <c r="G364" i="5"/>
  <c r="D386" i="5"/>
  <c r="C391" i="5"/>
  <c r="C366" i="5"/>
  <c r="B378" i="5"/>
  <c r="B372" i="5"/>
  <c r="M392" i="5"/>
  <c r="E394" i="5"/>
  <c r="L391" i="5"/>
  <c r="M377" i="5"/>
  <c r="E379" i="5"/>
  <c r="I380" i="5"/>
  <c r="M381" i="5"/>
  <c r="E383" i="5"/>
  <c r="I384" i="5"/>
  <c r="M385" i="5"/>
  <c r="E387" i="5"/>
  <c r="I388" i="5"/>
  <c r="M389" i="5"/>
  <c r="E366" i="5"/>
  <c r="I367" i="5"/>
  <c r="M368" i="5"/>
  <c r="E370" i="5"/>
  <c r="I371" i="5"/>
  <c r="N392" i="5"/>
  <c r="F394" i="5"/>
  <c r="K391" i="5"/>
  <c r="N377" i="5"/>
  <c r="F379" i="5"/>
  <c r="J380" i="5"/>
  <c r="N381" i="5"/>
  <c r="F383" i="5"/>
  <c r="J384" i="5"/>
  <c r="N385" i="5"/>
  <c r="F387" i="5"/>
  <c r="G393" i="5"/>
  <c r="K394" i="5"/>
  <c r="F391" i="5"/>
  <c r="G378" i="5"/>
  <c r="K379" i="5"/>
  <c r="O380" i="5"/>
  <c r="G382" i="5"/>
  <c r="K383" i="5"/>
  <c r="O384" i="5"/>
  <c r="G386" i="5"/>
  <c r="K387" i="5"/>
  <c r="O388" i="5"/>
  <c r="G365" i="5"/>
  <c r="K366" i="5"/>
  <c r="O367" i="5"/>
  <c r="G369" i="5"/>
  <c r="K370" i="5"/>
  <c r="O371" i="5"/>
  <c r="G373" i="5"/>
  <c r="K374" i="5"/>
  <c r="J368" i="5"/>
  <c r="I375" i="5"/>
  <c r="D371" i="5"/>
  <c r="B381" i="5"/>
  <c r="P394" i="5"/>
  <c r="H381" i="5"/>
  <c r="L386" i="5"/>
  <c r="L389" i="5"/>
  <c r="L367" i="5"/>
  <c r="L371" i="5"/>
  <c r="H375" i="5"/>
  <c r="D388" i="5"/>
  <c r="B391" i="5"/>
  <c r="P393" i="5"/>
  <c r="H380" i="5"/>
  <c r="L385" i="5"/>
  <c r="F389" i="5"/>
  <c r="J366" i="5"/>
  <c r="H372" i="5"/>
  <c r="D385" i="5"/>
  <c r="B389" i="5"/>
  <c r="I391" i="5"/>
  <c r="P381" i="5"/>
  <c r="H387" i="5"/>
  <c r="P389" i="5"/>
  <c r="H367" i="5"/>
  <c r="P369" i="5"/>
  <c r="I372" i="5"/>
  <c r="F374" i="5"/>
  <c r="N375" i="5"/>
  <c r="D393" i="5"/>
  <c r="D368" i="5"/>
  <c r="C380" i="5"/>
  <c r="B386" i="5"/>
  <c r="L394" i="5"/>
  <c r="P380" i="5"/>
  <c r="H386" i="5"/>
  <c r="J389" i="5"/>
  <c r="J367" i="5"/>
  <c r="F370" i="5"/>
  <c r="J372" i="5"/>
  <c r="H374" i="5"/>
  <c r="O375" i="5"/>
  <c r="D394" i="5"/>
  <c r="D365" i="5"/>
  <c r="C377" i="5"/>
  <c r="C367" i="5"/>
  <c r="B379" i="5"/>
  <c r="B369" i="5"/>
  <c r="L372" i="5"/>
  <c r="L375" i="5"/>
  <c r="D384" i="5"/>
  <c r="C386" i="5"/>
  <c r="B384" i="5"/>
  <c r="J370" i="5"/>
  <c r="P374" i="5"/>
  <c r="D367" i="5"/>
  <c r="B377" i="5"/>
  <c r="C370" i="5"/>
  <c r="B368" i="5"/>
  <c r="E391" i="5"/>
  <c r="H382" i="5"/>
  <c r="J387" i="5"/>
  <c r="J365" i="5"/>
  <c r="F368" i="5"/>
  <c r="N370" i="5"/>
  <c r="P372" i="5"/>
  <c r="M374" i="5"/>
  <c r="N364" i="5"/>
  <c r="D379" i="5"/>
  <c r="D369" i="5"/>
  <c r="C381" i="5"/>
  <c r="C371" i="5"/>
  <c r="B383" i="5"/>
  <c r="B373" i="5"/>
  <c r="J373" i="5"/>
  <c r="M364" i="5"/>
  <c r="D366" i="5"/>
  <c r="C368" i="5"/>
  <c r="B366" i="5"/>
  <c r="N371" i="5"/>
  <c r="P364" i="5"/>
  <c r="D375" i="5"/>
  <c r="B385" i="5"/>
  <c r="C374" i="5"/>
  <c r="B364" i="5"/>
  <c r="H378" i="5"/>
  <c r="L383" i="5"/>
  <c r="F388" i="5"/>
  <c r="F366" i="5"/>
  <c r="N368" i="5"/>
  <c r="J371" i="5"/>
  <c r="I373" i="5"/>
  <c r="F375" i="5"/>
  <c r="J364" i="5"/>
  <c r="D383" i="5"/>
  <c r="D373" i="5"/>
  <c r="C385" i="5"/>
  <c r="C375" i="5"/>
  <c r="B387" i="5"/>
  <c r="L369" i="5"/>
  <c r="P373" i="5"/>
  <c r="E364" i="5"/>
  <c r="C393" i="5"/>
  <c r="C372" i="5"/>
  <c r="B374" i="5"/>
  <c r="M372" i="5"/>
  <c r="H364" i="5"/>
  <c r="C383" i="5"/>
  <c r="B371" i="5"/>
  <c r="B382" i="5"/>
  <c r="H393" i="5"/>
  <c r="L379" i="5"/>
  <c r="P384" i="5"/>
  <c r="N388" i="5"/>
  <c r="N366" i="5"/>
  <c r="J369" i="5"/>
  <c r="E372" i="5"/>
  <c r="N373" i="5"/>
  <c r="K375" i="5"/>
  <c r="F364" i="5"/>
  <c r="D387" i="5"/>
  <c r="C392" i="5"/>
  <c r="C389" i="5"/>
  <c r="B394" i="5"/>
  <c r="B365" i="5"/>
  <c r="P370" i="5"/>
  <c r="N374" i="5"/>
  <c r="D391" i="5"/>
  <c r="C378" i="5"/>
  <c r="B380" i="5"/>
  <c r="F369" i="5"/>
  <c r="E374" i="5"/>
  <c r="D381" i="5"/>
  <c r="C369" i="5"/>
  <c r="J20" i="1"/>
  <c r="H20" i="1"/>
  <c r="L20" i="1"/>
  <c r="M20" i="1"/>
  <c r="M17" i="1" s="1"/>
  <c r="I20" i="1"/>
  <c r="K20" i="1"/>
  <c r="J17" i="1" l="1"/>
  <c r="S110" i="1" s="1"/>
  <c r="K17" i="1"/>
  <c r="H17" i="1"/>
  <c r="K110" i="1" s="1"/>
  <c r="L17" i="1"/>
  <c r="I17" i="1"/>
  <c r="O107" i="1" s="1"/>
  <c r="G17" i="1"/>
  <c r="K107" i="1"/>
  <c r="W107" i="1"/>
  <c r="G104" i="1"/>
  <c r="K101" i="1"/>
  <c r="AE110" i="1"/>
  <c r="AE103" i="1"/>
  <c r="AE119" i="1"/>
  <c r="AE112" i="1"/>
  <c r="AE105" i="1"/>
  <c r="AE121" i="1"/>
  <c r="AE114" i="1"/>
  <c r="AE107" i="1"/>
  <c r="AE123" i="1"/>
  <c r="AE116" i="1"/>
  <c r="AE109" i="1"/>
  <c r="AE102" i="1"/>
  <c r="AE118" i="1"/>
  <c r="AE111" i="1"/>
  <c r="AE104" i="1"/>
  <c r="AE120" i="1"/>
  <c r="AE113" i="1"/>
  <c r="AE106" i="1"/>
  <c r="AE122" i="1"/>
  <c r="AE115" i="1"/>
  <c r="AE108" i="1"/>
  <c r="AE101" i="1"/>
  <c r="AE117" i="1"/>
  <c r="O104" i="1"/>
  <c r="O110" i="1"/>
  <c r="W110" i="1"/>
  <c r="AA101" i="1"/>
  <c r="AA105" i="1"/>
  <c r="AA106" i="1"/>
  <c r="AA103" i="1"/>
  <c r="AA104" i="1"/>
  <c r="AA109" i="1"/>
  <c r="AA110" i="1"/>
  <c r="AA107" i="1"/>
  <c r="AA108" i="1"/>
  <c r="AA113" i="1"/>
  <c r="AA114" i="1"/>
  <c r="AA111" i="1"/>
  <c r="AA112" i="1"/>
  <c r="AA102" i="1"/>
  <c r="G11" i="1"/>
  <c r="G102" i="1"/>
  <c r="G108" i="1"/>
  <c r="G113" i="1"/>
  <c r="G106" i="1"/>
  <c r="G111" i="1"/>
  <c r="G112" i="1"/>
  <c r="G114" i="1"/>
  <c r="G105" i="1"/>
  <c r="G103" i="1"/>
  <c r="G109" i="1"/>
  <c r="G101" i="1"/>
  <c r="G110" i="1"/>
  <c r="O102" i="1"/>
  <c r="O103" i="1"/>
  <c r="O105" i="1"/>
  <c r="O106" i="1"/>
  <c r="O108" i="1"/>
  <c r="O109" i="1"/>
  <c r="O111" i="1"/>
  <c r="O112" i="1"/>
  <c r="O113" i="1"/>
  <c r="O114" i="1"/>
  <c r="S105" i="1"/>
  <c r="S106" i="1"/>
  <c r="S103" i="1"/>
  <c r="S109" i="1"/>
  <c r="S108" i="1"/>
  <c r="S113" i="1"/>
  <c r="S114" i="1"/>
  <c r="S111" i="1"/>
  <c r="S112" i="1"/>
  <c r="S102" i="1"/>
  <c r="W109" i="1"/>
  <c r="W111" i="1"/>
  <c r="W112" i="1"/>
  <c r="W113" i="1"/>
  <c r="W114" i="1"/>
  <c r="W102" i="1"/>
  <c r="W103" i="1"/>
  <c r="W105" i="1"/>
  <c r="W106" i="1"/>
  <c r="W108" i="1"/>
  <c r="K112" i="1"/>
  <c r="K114" i="1"/>
  <c r="K111" i="1"/>
  <c r="K105" i="1"/>
  <c r="K102" i="1"/>
  <c r="K109" i="1"/>
  <c r="K106" i="1"/>
  <c r="K103" i="1"/>
  <c r="K108" i="1"/>
  <c r="K113" i="1"/>
  <c r="W101" i="1"/>
  <c r="S101" i="1"/>
  <c r="S104" i="1"/>
  <c r="W104" i="1"/>
  <c r="K104" i="1"/>
  <c r="G107" i="1"/>
  <c r="O101" i="1"/>
  <c r="J11" i="1"/>
  <c r="J23" i="1" s="1"/>
  <c r="M11" i="1"/>
  <c r="M23" i="1" s="1"/>
  <c r="L11" i="1"/>
  <c r="L23" i="1" s="1"/>
  <c r="I11" i="1"/>
  <c r="I23" i="1" s="1"/>
  <c r="H11" i="1"/>
  <c r="H23" i="1" s="1"/>
  <c r="K11" i="1"/>
  <c r="K23" i="1" s="1"/>
  <c r="S107" i="1" l="1"/>
  <c r="K21" i="1"/>
  <c r="X99" i="1" s="1"/>
  <c r="M21" i="1"/>
  <c r="AF99" i="1" s="1"/>
  <c r="H21" i="1"/>
  <c r="L99" i="1" s="1"/>
  <c r="J21" i="1"/>
  <c r="T99" i="1" s="1"/>
  <c r="I21" i="1"/>
  <c r="P99" i="1" s="1"/>
  <c r="H99" i="1"/>
  <c r="L21" i="1"/>
  <c r="AB99" i="1" s="1"/>
  <c r="H102" i="1"/>
  <c r="H103" i="1"/>
  <c r="H111" i="1"/>
  <c r="I111" i="1" s="1"/>
  <c r="P108" i="1"/>
  <c r="Q108" i="1" s="1"/>
  <c r="P102" i="1"/>
  <c r="H108" i="1"/>
  <c r="I108" i="1" s="1"/>
  <c r="AB103" i="1"/>
  <c r="P113" i="1"/>
  <c r="Q113" i="1" s="1"/>
  <c r="AF110" i="1"/>
  <c r="AG110" i="1" s="1"/>
  <c r="AF111" i="1"/>
  <c r="AG111" i="1" s="1"/>
  <c r="AF105" i="1"/>
  <c r="AG105" i="1" s="1"/>
  <c r="AF123" i="1"/>
  <c r="AG123" i="1" s="1"/>
  <c r="AF103" i="1"/>
  <c r="AG103" i="1" s="1"/>
  <c r="AF118" i="1"/>
  <c r="AG118" i="1" s="1"/>
  <c r="AF116" i="1"/>
  <c r="AG116" i="1" s="1"/>
  <c r="H114" i="1"/>
  <c r="I114" i="1" s="1"/>
  <c r="H113" i="1"/>
  <c r="I113" i="1" s="1"/>
  <c r="AB113" i="1"/>
  <c r="X109" i="1"/>
  <c r="Y109" i="1" s="1"/>
  <c r="P114" i="1"/>
  <c r="Q114" i="1" s="1"/>
  <c r="AF122" i="1"/>
  <c r="AG122" i="1" s="1"/>
  <c r="X114" i="1"/>
  <c r="Y114" i="1" s="1"/>
  <c r="T103" i="1"/>
  <c r="L113" i="1"/>
  <c r="M113" i="1" s="1"/>
  <c r="L114" i="1"/>
  <c r="M114" i="1" s="1"/>
  <c r="X113" i="1"/>
  <c r="Y113" i="1" s="1"/>
  <c r="T113" i="1"/>
  <c r="L108" i="1"/>
  <c r="M108" i="1" s="1"/>
  <c r="L102" i="1"/>
  <c r="X103" i="1"/>
  <c r="Y103" i="1" s="1"/>
  <c r="T108" i="1"/>
  <c r="U108" i="1" s="1"/>
  <c r="P111" i="1"/>
  <c r="Q111" i="1" s="1"/>
  <c r="AB102" i="1"/>
  <c r="AB109" i="1"/>
  <c r="AF115" i="1"/>
  <c r="AG115" i="1" s="1"/>
  <c r="AF120" i="1"/>
  <c r="AG120" i="1" s="1"/>
  <c r="AF102" i="1"/>
  <c r="AF112" i="1"/>
  <c r="AG112" i="1" s="1"/>
  <c r="X108" i="1"/>
  <c r="Y108" i="1" s="1"/>
  <c r="X102" i="1"/>
  <c r="Y102" i="1" s="1"/>
  <c r="X111" i="1"/>
  <c r="Y111" i="1" s="1"/>
  <c r="T111" i="1"/>
  <c r="U111" i="1" s="1"/>
  <c r="T109" i="1"/>
  <c r="P109" i="1"/>
  <c r="Q109" i="1" s="1"/>
  <c r="H109" i="1"/>
  <c r="I109" i="1" s="1"/>
  <c r="AB108" i="1"/>
  <c r="AF104" i="1"/>
  <c r="AF114" i="1"/>
  <c r="AG114" i="1" s="1"/>
  <c r="AF119" i="1"/>
  <c r="AG119" i="1" s="1"/>
  <c r="L106" i="1"/>
  <c r="AB111" i="1"/>
  <c r="AF106" i="1"/>
  <c r="L111" i="1"/>
  <c r="M111" i="1" s="1"/>
  <c r="L109" i="1"/>
  <c r="M109" i="1" s="1"/>
  <c r="T102" i="1"/>
  <c r="AF108" i="1"/>
  <c r="AG108" i="1" s="1"/>
  <c r="L103" i="1"/>
  <c r="X106" i="1"/>
  <c r="Y106" i="1" s="1"/>
  <c r="P103" i="1"/>
  <c r="T106" i="1"/>
  <c r="P106" i="1"/>
  <c r="H106" i="1"/>
  <c r="AB106" i="1"/>
  <c r="H112" i="1"/>
  <c r="I112" i="1" s="1"/>
  <c r="H105" i="1"/>
  <c r="AJ106" i="1"/>
  <c r="AJ108" i="1"/>
  <c r="AJ105" i="1"/>
  <c r="AJ103" i="1"/>
  <c r="AJ104" i="1"/>
  <c r="AJ110" i="1"/>
  <c r="AJ102" i="1"/>
  <c r="AJ111" i="1"/>
  <c r="AK111" i="1" s="1"/>
  <c r="H110" i="1"/>
  <c r="H107" i="1"/>
  <c r="H104" i="1"/>
  <c r="H101" i="1"/>
  <c r="L101" i="1"/>
  <c r="AB114" i="1"/>
  <c r="AC114" i="1" s="1"/>
  <c r="T114" i="1"/>
  <c r="U114" i="1" s="1"/>
  <c r="X112" i="1" l="1"/>
  <c r="Y112" i="1" s="1"/>
  <c r="X104" i="1"/>
  <c r="X105" i="1"/>
  <c r="L110" i="1"/>
  <c r="L107" i="1"/>
  <c r="L112" i="1"/>
  <c r="M112" i="1" s="1"/>
  <c r="AB107" i="1"/>
  <c r="AB110" i="1"/>
  <c r="AB105" i="1"/>
  <c r="P105" i="1"/>
  <c r="T104" i="1"/>
  <c r="P112" i="1"/>
  <c r="Q112" i="1" s="1"/>
  <c r="P104" i="1"/>
  <c r="T112" i="1"/>
  <c r="U112" i="1" s="1"/>
  <c r="P107" i="1"/>
  <c r="P101" i="1"/>
  <c r="P110" i="1"/>
  <c r="X107" i="1"/>
  <c r="AF117" i="1"/>
  <c r="X101" i="1"/>
  <c r="X110" i="1"/>
  <c r="AB104" i="1"/>
  <c r="AJ112" i="1"/>
  <c r="AK112" i="1" s="1"/>
  <c r="AF121" i="1"/>
  <c r="AG121" i="1" s="1"/>
  <c r="AF101" i="1"/>
  <c r="AF109" i="1"/>
  <c r="AJ109" i="1"/>
  <c r="AF107" i="1"/>
  <c r="AC103" i="1"/>
  <c r="AB101" i="1"/>
  <c r="L104" i="1"/>
  <c r="AJ101" i="1"/>
  <c r="AJ107" i="1"/>
  <c r="AB112" i="1"/>
  <c r="AC112" i="1" s="1"/>
  <c r="L105" i="1"/>
  <c r="I110" i="1"/>
  <c r="T105" i="1"/>
  <c r="T110" i="1"/>
  <c r="U110" i="1" s="1"/>
  <c r="T101" i="1"/>
  <c r="T107" i="1"/>
  <c r="AF113" i="1"/>
  <c r="AJ99" i="1"/>
  <c r="U103" i="1"/>
  <c r="U106" i="1"/>
  <c r="AG102" i="1"/>
  <c r="AC102" i="1"/>
  <c r="M106" i="1"/>
  <c r="AG106" i="1"/>
  <c r="I106" i="1"/>
  <c r="I102" i="1"/>
  <c r="I103" i="1"/>
  <c r="AK102" i="1"/>
  <c r="AK105" i="1"/>
  <c r="AC106" i="1"/>
  <c r="U102" i="1"/>
  <c r="AG104" i="1"/>
  <c r="AK104" i="1"/>
  <c r="AK106" i="1"/>
  <c r="M103" i="1"/>
  <c r="M102" i="1"/>
  <c r="AK103" i="1"/>
  <c r="I107" i="1"/>
  <c r="AK108" i="1"/>
  <c r="AK110" i="1"/>
  <c r="I105" i="1"/>
  <c r="I101" i="1"/>
  <c r="I104" i="1"/>
  <c r="AC113" i="1"/>
  <c r="AC111" i="1"/>
  <c r="AC109" i="1"/>
  <c r="AC108" i="1"/>
  <c r="U113" i="1"/>
  <c r="U109" i="1"/>
  <c r="Q106" i="1"/>
  <c r="Q102" i="1"/>
  <c r="Q103" i="1"/>
  <c r="M110" i="1" l="1"/>
  <c r="Q110" i="1"/>
  <c r="M107" i="1"/>
  <c r="M105" i="1"/>
  <c r="Q105" i="1"/>
  <c r="Q107" i="1"/>
  <c r="M104" i="1"/>
  <c r="M101" i="1"/>
  <c r="AC110" i="1"/>
  <c r="Q104" i="1"/>
  <c r="Q101" i="1"/>
  <c r="AG107" i="1"/>
  <c r="AG117" i="1"/>
  <c r="AG101" i="1"/>
  <c r="Y101" i="1"/>
  <c r="Y105" i="1"/>
  <c r="AC104" i="1"/>
  <c r="Y107" i="1"/>
  <c r="AC107" i="1"/>
  <c r="AC105" i="1"/>
  <c r="AC101" i="1"/>
  <c r="AK109" i="1"/>
  <c r="Y104" i="1"/>
  <c r="Y110" i="1"/>
  <c r="AK107" i="1"/>
  <c r="AG109" i="1"/>
  <c r="AK101" i="1"/>
  <c r="U101" i="1"/>
  <c r="U105" i="1"/>
  <c r="U104" i="1"/>
  <c r="AG113" i="1"/>
  <c r="U107" i="1"/>
  <c r="I115" i="1"/>
  <c r="G7" i="1" s="1"/>
  <c r="M115" i="1" l="1"/>
  <c r="H7" i="1" s="1"/>
  <c r="Q115" i="1"/>
  <c r="I7" i="1" s="1"/>
  <c r="AC115" i="1"/>
  <c r="L7" i="1" s="1"/>
  <c r="AK113" i="1"/>
  <c r="Q7" i="1" s="1"/>
  <c r="Y115" i="1"/>
  <c r="K7" i="1" s="1"/>
  <c r="AG124" i="1"/>
  <c r="M7" i="1" s="1"/>
  <c r="E4" i="1" s="1"/>
  <c r="U115" i="1"/>
  <c r="J7" i="1" s="1"/>
  <c r="E3" i="1" s="1"/>
  <c r="E2" i="1" l="1"/>
</calcChain>
</file>

<file path=xl/sharedStrings.xml><?xml version="1.0" encoding="utf-8"?>
<sst xmlns="http://schemas.openxmlformats.org/spreadsheetml/2006/main" count="2700" uniqueCount="273">
  <si>
    <t>NBV15</t>
  </si>
  <si>
    <t>Teilpunkte (TP):</t>
  </si>
  <si>
    <t>-</t>
  </si>
  <si>
    <t>Anteil erneuerbarer Primärenergie</t>
  </si>
  <si>
    <t>GWP / CO2</t>
  </si>
  <si>
    <t>ODP / CFC11</t>
  </si>
  <si>
    <t>POCP / C2H4</t>
  </si>
  <si>
    <t>AP / SO2</t>
  </si>
  <si>
    <t>EP / PO4-3</t>
  </si>
  <si>
    <t>PEne</t>
  </si>
  <si>
    <t>PEges</t>
  </si>
  <si>
    <t>ADPE/ Sb</t>
  </si>
  <si>
    <t>ADPF</t>
  </si>
  <si>
    <t>FW</t>
  </si>
  <si>
    <t>A-D</t>
  </si>
  <si>
    <t>A</t>
  </si>
  <si>
    <t>B2</t>
  </si>
  <si>
    <t>C3</t>
  </si>
  <si>
    <t>C4</t>
  </si>
  <si>
    <t>D</t>
  </si>
  <si>
    <t>B6</t>
  </si>
  <si>
    <t>A1
A2
A3</t>
  </si>
  <si>
    <t>A4</t>
  </si>
  <si>
    <t>A5</t>
  </si>
  <si>
    <t>B1</t>
  </si>
  <si>
    <t>B3</t>
  </si>
  <si>
    <t>B4</t>
  </si>
  <si>
    <t>B5</t>
  </si>
  <si>
    <t>B7</t>
  </si>
  <si>
    <t>C1</t>
  </si>
  <si>
    <t>C2</t>
  </si>
  <si>
    <t>Zusätzlicher Erneuerbarer Primärenergiebedarf (PEe) gedeckt aus PV und Wärmepumpe</t>
  </si>
  <si>
    <t>Wärmeerzeugung</t>
  </si>
  <si>
    <t>Art der Wärmeerzeugung</t>
  </si>
  <si>
    <t>A/V [m-1]</t>
  </si>
  <si>
    <t>Energieträger</t>
  </si>
  <si>
    <t>Dachfläche [m²]</t>
  </si>
  <si>
    <t>Kühlung</t>
  </si>
  <si>
    <t>Fassadenfläche [m²]</t>
  </si>
  <si>
    <t>Art der Kühlung</t>
  </si>
  <si>
    <t>Innenwandfläche [m²]</t>
  </si>
  <si>
    <t>Deckenfläche [m²]</t>
  </si>
  <si>
    <t>EnEV Version</t>
  </si>
  <si>
    <t>Fundament/ Bodenplatte [m²]</t>
  </si>
  <si>
    <t>Verwendete EnEV-Version</t>
  </si>
  <si>
    <t>Strombedarf (Endenergie) der Nutzerausstattung (laut Kriterium)</t>
  </si>
  <si>
    <t>Wärmebedarf (Endenergie) der Nutzerausstattung (laut Kriterium)</t>
  </si>
  <si>
    <t>optional</t>
  </si>
  <si>
    <t>Info</t>
  </si>
  <si>
    <t>Strombedarf    [kWh/a]</t>
  </si>
  <si>
    <t>Heizwärmebedarf    [kWh/a]</t>
  </si>
  <si>
    <t>Nutzerausstattung Strom</t>
  </si>
  <si>
    <t>Nutzerausstattung Wärme</t>
  </si>
  <si>
    <t xml:space="preserve">Umrechnung Flächen </t>
  </si>
  <si>
    <t>IST-Wert:</t>
  </si>
  <si>
    <t>Punkte</t>
  </si>
  <si>
    <t>GWP-Punktewerte</t>
  </si>
  <si>
    <t>GWPist</t>
  </si>
  <si>
    <t>Punkte-IST</t>
  </si>
  <si>
    <t>ODP-Punktewerte</t>
  </si>
  <si>
    <t>ODPist</t>
  </si>
  <si>
    <t>POCP-Punktewerte</t>
  </si>
  <si>
    <t>POCPist</t>
  </si>
  <si>
    <t>PEEist/PEGESist[%]</t>
  </si>
  <si>
    <t>Change log:</t>
  </si>
  <si>
    <t>V2.0</t>
  </si>
  <si>
    <t>Folgende Erweiterungen:
- V18 Profile erweitert
- Nutzerausstattung ergänzt
- Berechnung erneuerbarer Primärenergiebedarf bei PV und Wärmepumpe
- Berechnung der Teilpunkte</t>
  </si>
  <si>
    <t>V2.1</t>
  </si>
  <si>
    <t>DGNB</t>
  </si>
  <si>
    <t>NUTZUNGSPROFIL</t>
  </si>
  <si>
    <t>CORE14</t>
  </si>
  <si>
    <t>BRI</t>
  </si>
  <si>
    <t>NLO15</t>
  </si>
  <si>
    <t>NPS15</t>
  </si>
  <si>
    <t>NBV12_U</t>
  </si>
  <si>
    <t>NIN12_Typ1_U</t>
  </si>
  <si>
    <t>NBI15</t>
  </si>
  <si>
    <t>NIN12_Typ2_U</t>
  </si>
  <si>
    <t>NBI12_U</t>
  </si>
  <si>
    <t>NLO18</t>
  </si>
  <si>
    <t>NBI12_Kita</t>
  </si>
  <si>
    <t>NPS18</t>
  </si>
  <si>
    <t>NWO15</t>
  </si>
  <si>
    <t>NWO12_U</t>
  </si>
  <si>
    <t>NKW13</t>
  </si>
  <si>
    <t>NGH15</t>
  </si>
  <si>
    <t>NSC15</t>
  </si>
  <si>
    <t>NVM15</t>
  </si>
  <si>
    <t>NHA13_Typ4</t>
  </si>
  <si>
    <t>NHA12_Typ2_U</t>
  </si>
  <si>
    <t>NHA12_Typ1_U</t>
  </si>
  <si>
    <t>NHO12_U</t>
  </si>
  <si>
    <t>NHO15</t>
  </si>
  <si>
    <t>NGB13</t>
  </si>
  <si>
    <t>NBV18</t>
  </si>
  <si>
    <t>NBI18</t>
  </si>
  <si>
    <t>NWO18</t>
  </si>
  <si>
    <t>NHO18</t>
  </si>
  <si>
    <t>NVM18</t>
  </si>
  <si>
    <t>NSC18</t>
  </si>
  <si>
    <t>NGH18</t>
  </si>
  <si>
    <t>NSH17</t>
  </si>
  <si>
    <t>Strom/Electricity</t>
  </si>
  <si>
    <t>Wärme/Heat</t>
  </si>
  <si>
    <t>Strom Nutzerausstattung/Electricity Equipment</t>
  </si>
  <si>
    <t>Wärme Nutzerausstattung/Heat Equipment</t>
  </si>
  <si>
    <t>NP</t>
  </si>
  <si>
    <t>Ökobau.dat Version</t>
  </si>
  <si>
    <t>ESUCO</t>
  </si>
  <si>
    <t>V2013 oder neuer</t>
  </si>
  <si>
    <t>V2011 oder neuer</t>
  </si>
  <si>
    <t>V2016-I und neuer</t>
  </si>
  <si>
    <t>SVERWEIS</t>
  </si>
  <si>
    <t>GWP_gesamt</t>
  </si>
  <si>
    <t>GWP_Kref</t>
  </si>
  <si>
    <t>GWP_Nref</t>
  </si>
  <si>
    <t>ODP_gesamt</t>
  </si>
  <si>
    <t>ODP_Kref</t>
  </si>
  <si>
    <t>ODP_Nref</t>
  </si>
  <si>
    <t>POCP_gesamt</t>
  </si>
  <si>
    <t>POCP_Kref</t>
  </si>
  <si>
    <t>POCP_Nref</t>
  </si>
  <si>
    <t>AP_gesamt</t>
  </si>
  <si>
    <t>AP_Kref</t>
  </si>
  <si>
    <t>AP_Nref</t>
  </si>
  <si>
    <t>EP_gesamt</t>
  </si>
  <si>
    <t>EP_Kref</t>
  </si>
  <si>
    <t>EP_Nref</t>
  </si>
  <si>
    <t>PE(ne)_gesamt</t>
  </si>
  <si>
    <t>PE(ne)_Kref</t>
  </si>
  <si>
    <t>PE(ne)_Nref</t>
  </si>
  <si>
    <t>PE(ges)_gesamt</t>
  </si>
  <si>
    <t>PE(ges)_Kref</t>
  </si>
  <si>
    <t>PE(ges)_Nref</t>
  </si>
  <si>
    <t>PE(e) [%]</t>
  </si>
  <si>
    <t>AP-Punktewerte</t>
  </si>
  <si>
    <t>Apist</t>
  </si>
  <si>
    <t>EP-Punktewerte</t>
  </si>
  <si>
    <t>Epist</t>
  </si>
  <si>
    <t>PENE-Punktewerte</t>
  </si>
  <si>
    <t>PEGE-Punktewerte</t>
  </si>
  <si>
    <t>PENEist</t>
  </si>
  <si>
    <t>PEGESist</t>
  </si>
  <si>
    <t>PEE/PEGES[%]-Punktewerte</t>
  </si>
  <si>
    <t>V2.2</t>
  </si>
  <si>
    <t>Fehler in der TP-Berechnung korrigiert</t>
  </si>
  <si>
    <t>G(GWP)</t>
  </si>
  <si>
    <t>G(POCP)</t>
  </si>
  <si>
    <t>G(ODP)</t>
  </si>
  <si>
    <t>G(AP)</t>
  </si>
  <si>
    <t>G(EP)</t>
  </si>
  <si>
    <t>G(PENE)</t>
  </si>
  <si>
    <t>G(PEGES)</t>
  </si>
  <si>
    <t>G(PEE)</t>
  </si>
  <si>
    <t>SUMME:</t>
  </si>
  <si>
    <t>SUMME_ENV1.1</t>
  </si>
  <si>
    <t>SUMME-ENV2.1</t>
  </si>
  <si>
    <t>V2.3</t>
  </si>
  <si>
    <t>CLP-Berechnung aufgenommen</t>
  </si>
  <si>
    <t>CLP ENV1.1</t>
  </si>
  <si>
    <t>CLP ENV2.1</t>
  </si>
  <si>
    <t>CLP Ökobilanz gesamt</t>
  </si>
  <si>
    <t>V2.4</t>
  </si>
  <si>
    <t>Gesamtpunkteberechnung aufgenommen</t>
  </si>
  <si>
    <t>V2.5</t>
  </si>
  <si>
    <t>Korrektur Punkteberechnung bei PEGE</t>
  </si>
  <si>
    <t>V2.6</t>
  </si>
  <si>
    <t>[kg/(m²NRF*a)]</t>
  </si>
  <si>
    <t>[MJ/m²NRF*a]</t>
  </si>
  <si>
    <t>[m3/m²NRF*a]</t>
  </si>
  <si>
    <t>NFA</t>
  </si>
  <si>
    <t>NPH18</t>
  </si>
  <si>
    <t>NP NSH17(Sporthallen) ergänzt</t>
  </si>
  <si>
    <t>-NP Parkhäuser (NPH18) ergänzt
-DGNB Bezugsgröße NGFa auf NRF geändert
-Gesamt CLP Berechnung für NSH17(Sporthallen) vervollständigt</t>
  </si>
  <si>
    <t>V2.7</t>
  </si>
  <si>
    <t>Punkteberechnungsfehler bei PEGES und regenerativen Anteil korrigiert</t>
  </si>
  <si>
    <t>V2.8</t>
  </si>
  <si>
    <t>DGNB Sicherheitszuschlag</t>
  </si>
  <si>
    <t>Sicherheitszuschlag auf die Konstruktion gemäß Kriterium</t>
  </si>
  <si>
    <t>Sicherheitszuschlag in den Ökobilanzdaten bereits eingerechnet?</t>
  </si>
  <si>
    <t>Sicherheitszuschlag</t>
  </si>
  <si>
    <t>Berechnungsmethode</t>
  </si>
  <si>
    <t xml:space="preserve">gemäß Kriterium TEC1.4, Indikator 1 umfangreiche passive Maßnahmen angerechnet </t>
  </si>
  <si>
    <t>A,B4,
C3,C4,D</t>
  </si>
  <si>
    <t>DGNB Sicherheitszuschlag auf die Konstruktion (falls noch nicht eingerechnet)</t>
  </si>
  <si>
    <r>
      <rPr>
        <b/>
        <sz val="11"/>
        <rFont val="Calibri"/>
        <family val="2"/>
      </rPr>
      <t>Wärmepumpe 1: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JAZ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</t>
    </r>
  </si>
  <si>
    <r>
      <rPr>
        <b/>
        <sz val="11"/>
        <color indexed="8"/>
        <rFont val="Calibri"/>
        <family val="2"/>
      </rPr>
      <t>Wärmepumpe 1: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Hilfsenergie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 </t>
    </r>
    <r>
      <rPr>
        <sz val="11"/>
        <color rgb="FFFF0000"/>
        <rFont val="Calibri"/>
        <family val="2"/>
      </rPr>
      <t>[kWh/a]</t>
    </r>
  </si>
  <si>
    <r>
      <rPr>
        <b/>
        <sz val="11"/>
        <rFont val="Calibri"/>
        <family val="2"/>
      </rPr>
      <t>Wärmepumpe 2: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JAZ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</t>
    </r>
  </si>
  <si>
    <r>
      <rPr>
        <b/>
        <sz val="11"/>
        <color indexed="8"/>
        <rFont val="Calibri"/>
        <family val="2"/>
      </rPr>
      <t>Wärmepumpe 2: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Hilfsenergie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 </t>
    </r>
    <r>
      <rPr>
        <sz val="11"/>
        <color rgb="FFFF0000"/>
        <rFont val="Calibri"/>
        <family val="2"/>
      </rPr>
      <t>[kWh/a]</t>
    </r>
  </si>
  <si>
    <r>
      <rPr>
        <b/>
        <sz val="11"/>
        <rFont val="Calibri"/>
        <family val="2"/>
      </rPr>
      <t>Wärmepumpe 3: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JAZ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</t>
    </r>
  </si>
  <si>
    <r>
      <rPr>
        <b/>
        <sz val="11"/>
        <color indexed="8"/>
        <rFont val="Calibri"/>
        <family val="2"/>
      </rPr>
      <t>Wärmepumpe 3:</t>
    </r>
    <r>
      <rPr>
        <sz val="11"/>
        <color indexed="8"/>
        <rFont val="Calibri"/>
        <family val="2"/>
      </rPr>
      <t xml:space="preserve"> Angabe </t>
    </r>
    <r>
      <rPr>
        <sz val="11"/>
        <color rgb="FFFF0000"/>
        <rFont val="Calibri"/>
        <family val="2"/>
      </rPr>
      <t>Hilfsenergie</t>
    </r>
    <r>
      <rPr>
        <sz val="11"/>
        <color indexed="8"/>
        <rFont val="Calibri"/>
        <family val="2"/>
      </rPr>
      <t xml:space="preserve"> der Wärmepumpe (WP), falls die Hilfsenergie der WP mit dem Datensatz "Strom-Mix" verknüpft wurde </t>
    </r>
    <r>
      <rPr>
        <sz val="11"/>
        <color rgb="FFFF0000"/>
        <rFont val="Calibri"/>
        <family val="2"/>
      </rPr>
      <t>[kWh/a]</t>
    </r>
  </si>
  <si>
    <r>
      <t xml:space="preserve">Eigengenutzter Strom aus PV-Anlage, falls nicht in der EnEV-Berechnung berücksichtigt </t>
    </r>
    <r>
      <rPr>
        <b/>
        <sz val="11"/>
        <color rgb="FFFF0000"/>
        <rFont val="Calibri"/>
        <family val="2"/>
      </rPr>
      <t>[kWh/a]</t>
    </r>
  </si>
  <si>
    <t>MIX18</t>
  </si>
  <si>
    <t>MIX12</t>
  </si>
  <si>
    <t>MIX15</t>
  </si>
  <si>
    <t>MIX12
NUTZUNGSPROFIL</t>
  </si>
  <si>
    <t>MIX15
NUTZUNGSPROFIL</t>
  </si>
  <si>
    <t>MIX18
NUTZUNGSPROFIL</t>
  </si>
  <si>
    <t>V2.9</t>
  </si>
  <si>
    <t>Punkteberechnung bei Mischnutzung für die Nutzungsprofilversionen 12.U, 15 und 18 implementiert</t>
  </si>
  <si>
    <t xml:space="preserve">1. Berücksichtigung des DGNB Sicherheitszuschlags auf die Konstruktion
2. Eingabe mehrere Wärmepumpen ermöglicht
3. Schärfung / Korrektur von Formulierungen
</t>
  </si>
  <si>
    <t>V3.0</t>
  </si>
  <si>
    <t>Berechnung des Sicherheitszuschlags und Gist korrigiert</t>
  </si>
  <si>
    <t>NVA</t>
  </si>
  <si>
    <t>NVS18_Typ1</t>
  </si>
  <si>
    <t>NVS18_Typ2</t>
  </si>
  <si>
    <t>V3.1</t>
  </si>
  <si>
    <t>MIX18_NVS</t>
  </si>
  <si>
    <t>1. Nutzungsprofil Versammlungsstätten NVS18 ergänzt und MIX Berechnung angepasst.
2. Berücksichtigung des erneuerbaren Anteils von WP korrigiert.
3. Zeile B6 (Stromerzeugung durch PV Anlage) entfernt. Der eigengenutzter Strom aus der PV-Anlage reduziert gemäß Kriterium den Endenergie-Strombedarf des Gebäudes. Die Umweltwirkungen und Ressourcenbedarf werden dann mit dem reduzierten Strombedarf gerechnet. PEges muss bei dieser Berechnungsmethode um den erneuerbaren Anteil, den die PV-Anlage der Umwelt entzogen hat, erhöht werden.</t>
  </si>
  <si>
    <t>vereinfachtes Verfahren</t>
  </si>
  <si>
    <t>Faktor 1,1</t>
  </si>
  <si>
    <t>320 Gründung</t>
  </si>
  <si>
    <t>A1-A3</t>
  </si>
  <si>
    <t>C3 C4</t>
  </si>
  <si>
    <t>B 4</t>
  </si>
  <si>
    <t>(A1- A3)</t>
  </si>
  <si>
    <t>C3,C4,D</t>
  </si>
  <si>
    <t>(A1- A3)x1,1</t>
  </si>
  <si>
    <t>B4 x 1,1</t>
  </si>
  <si>
    <t>C3,C4,D x 1,1</t>
  </si>
  <si>
    <t>Indikator</t>
  </si>
  <si>
    <t>Einheit</t>
  </si>
  <si>
    <r>
      <t>Herstellung / m²</t>
    </r>
    <r>
      <rPr>
        <i/>
        <vertAlign val="subscript"/>
        <sz val="12"/>
        <color rgb="FF888888"/>
        <rFont val="Arial"/>
        <family val="2"/>
      </rPr>
      <t>NGF</t>
    </r>
    <r>
      <rPr>
        <i/>
        <sz val="12"/>
        <color rgb="FF888888"/>
        <rFont val="Arial"/>
        <family val="2"/>
      </rPr>
      <t>a</t>
    </r>
  </si>
  <si>
    <r>
      <t>Entsorgung / m²</t>
    </r>
    <r>
      <rPr>
        <i/>
        <vertAlign val="subscript"/>
        <sz val="12"/>
        <color rgb="FF888888"/>
        <rFont val="Arial"/>
        <family val="2"/>
      </rPr>
      <t>NGF</t>
    </r>
    <r>
      <rPr>
        <i/>
        <sz val="12"/>
        <color rgb="FF888888"/>
        <rFont val="Arial"/>
        <family val="2"/>
      </rPr>
      <t>a</t>
    </r>
  </si>
  <si>
    <r>
      <t>Instandhaltung / m²</t>
    </r>
    <r>
      <rPr>
        <i/>
        <vertAlign val="subscript"/>
        <sz val="12"/>
        <color rgb="FF888888"/>
        <rFont val="Arial"/>
        <family val="2"/>
      </rPr>
      <t>NGF</t>
    </r>
    <r>
      <rPr>
        <i/>
        <sz val="12"/>
        <color rgb="FF888888"/>
        <rFont val="Arial"/>
        <family val="2"/>
      </rPr>
      <t>a</t>
    </r>
  </si>
  <si>
    <r>
      <t>Rec.potential / m²</t>
    </r>
    <r>
      <rPr>
        <i/>
        <vertAlign val="subscript"/>
        <sz val="12"/>
        <color rgb="FF888888"/>
        <rFont val="Arial"/>
        <family val="2"/>
      </rPr>
      <t>NGF</t>
    </r>
    <r>
      <rPr>
        <i/>
        <sz val="12"/>
        <color rgb="FF888888"/>
        <rFont val="Arial"/>
        <family val="2"/>
      </rPr>
      <t>a</t>
    </r>
  </si>
  <si>
    <r>
      <t>Gesamt / m²</t>
    </r>
    <r>
      <rPr>
        <i/>
        <vertAlign val="subscript"/>
        <sz val="12"/>
        <color rgb="FF666666"/>
        <rFont val="Arial"/>
        <family val="2"/>
      </rPr>
      <t>NGF</t>
    </r>
    <r>
      <rPr>
        <i/>
        <sz val="12"/>
        <color rgb="FF666666"/>
        <rFont val="Arial"/>
        <family val="2"/>
      </rPr>
      <t>a</t>
    </r>
  </si>
  <si>
    <t>GWP</t>
  </si>
  <si>
    <t>kg CO2-Äqv.</t>
  </si>
  <si>
    <t>ODP</t>
  </si>
  <si>
    <t>kg R11-Äqv.</t>
  </si>
  <si>
    <t>POCP</t>
  </si>
  <si>
    <t>kg Ethen-Äqv.</t>
  </si>
  <si>
    <t>AP</t>
  </si>
  <si>
    <t>kg SO2-Äqv.</t>
  </si>
  <si>
    <t>EP</t>
  </si>
  <si>
    <t>kg PO4-Äqv.</t>
  </si>
  <si>
    <t>PE Ges.</t>
  </si>
  <si>
    <t>MJ</t>
  </si>
  <si>
    <t>PENRT</t>
  </si>
  <si>
    <t>PENRM</t>
  </si>
  <si>
    <t>PENRE</t>
  </si>
  <si>
    <t>PERT</t>
  </si>
  <si>
    <t>PERM</t>
  </si>
  <si>
    <t>PERE</t>
  </si>
  <si>
    <t>ADP elem.</t>
  </si>
  <si>
    <t>kg Sb-Äqv.</t>
  </si>
  <si>
    <t>ADP fossil</t>
  </si>
  <si>
    <t>330 Aussenwände</t>
  </si>
  <si>
    <t>340 Innenwände</t>
  </si>
  <si>
    <t>350 Decken</t>
  </si>
  <si>
    <t xml:space="preserve"> </t>
  </si>
  <si>
    <t>360 Dächer</t>
  </si>
  <si>
    <t>370 konstruktive Einbauten</t>
  </si>
  <si>
    <t>400 Technische Anlagen</t>
  </si>
  <si>
    <t>Herstellung / m²NGFa</t>
  </si>
  <si>
    <t>Entsorgung / m²NGFa</t>
  </si>
  <si>
    <t>Instandhaltung / m²NGFa</t>
  </si>
  <si>
    <t>Rec.potential / m²NGFa</t>
  </si>
  <si>
    <t>B 6 aus ELCA</t>
  </si>
  <si>
    <t>D Energetisch aus ELCA</t>
  </si>
  <si>
    <r>
      <t>Gesamt / m²</t>
    </r>
    <r>
      <rPr>
        <i/>
        <vertAlign val="subscript"/>
        <sz val="12"/>
        <color rgb="FF888888"/>
        <rFont val="Arial"/>
        <family val="2"/>
      </rPr>
      <t>NGF</t>
    </r>
    <r>
      <rPr>
        <i/>
        <sz val="12"/>
        <color rgb="FF888888"/>
        <rFont val="Arial"/>
        <family val="2"/>
      </rPr>
      <t>a</t>
    </r>
  </si>
  <si>
    <t>%</t>
  </si>
  <si>
    <t>NRF(R) nach DIN 277 [m²]</t>
  </si>
  <si>
    <t>Vereinfachtes Verfahren</t>
  </si>
  <si>
    <t>Ja</t>
  </si>
  <si>
    <t>Absolute Werte / Absolut Values</t>
  </si>
  <si>
    <t>Fernwärme</t>
  </si>
  <si>
    <t>Bauteilaktivirung</t>
  </si>
  <si>
    <t>Geothermie</t>
  </si>
  <si>
    <t>m2</t>
  </si>
  <si>
    <t>30a</t>
  </si>
  <si>
    <t>25 tonnen CO2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</si>
</sst>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0;\-0;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6"/>
      <color theme="0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name val="Arial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888888"/>
      <name val="Arial"/>
      <family val="2"/>
    </font>
    <font>
      <i/>
      <vertAlign val="subscript"/>
      <sz val="12"/>
      <color rgb="FF888888"/>
      <name val="Arial"/>
      <family val="2"/>
    </font>
    <font>
      <i/>
      <sz val="12"/>
      <color rgb="FF666666"/>
      <name val="Arial"/>
      <family val="2"/>
    </font>
    <font>
      <i/>
      <vertAlign val="subscript"/>
      <sz val="12"/>
      <color rgb="FF666666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9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22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theme="0"/>
      </left>
      <right/>
      <top style="thick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theme="0"/>
      </left>
      <right/>
      <top style="thick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3" fillId="3" borderId="4" xfId="1" applyFont="1" applyFill="1" applyBorder="1" applyAlignment="1" applyProtection="1">
      <alignment horizontal="left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9" fillId="2" borderId="20" xfId="1" applyFont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left" vertical="center" wrapText="1"/>
    </xf>
    <xf numFmtId="0" fontId="13" fillId="0" borderId="27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left" vertical="center" wrapText="1"/>
    </xf>
    <xf numFmtId="0" fontId="13" fillId="0" borderId="27" xfId="1" applyFont="1" applyFill="1" applyBorder="1" applyAlignment="1" applyProtection="1">
      <alignment horizontal="center" vertical="center" wrapText="1"/>
    </xf>
    <xf numFmtId="0" fontId="13" fillId="0" borderId="32" xfId="1" applyFont="1" applyFill="1" applyBorder="1" applyAlignment="1" applyProtection="1">
      <alignment horizontal="center" vertical="center" wrapText="1"/>
    </xf>
    <xf numFmtId="0" fontId="1" fillId="0" borderId="33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vertical="center"/>
    </xf>
    <xf numFmtId="1" fontId="14" fillId="6" borderId="8" xfId="1" applyNumberFormat="1" applyFont="1" applyFill="1" applyBorder="1" applyAlignment="1" applyProtection="1">
      <alignment horizontal="center" vertical="center" wrapText="1"/>
    </xf>
    <xf numFmtId="0" fontId="16" fillId="0" borderId="40" xfId="1" applyFont="1" applyFill="1" applyBorder="1" applyAlignment="1" applyProtection="1">
      <alignment vertical="center"/>
    </xf>
    <xf numFmtId="0" fontId="17" fillId="0" borderId="41" xfId="0" applyFont="1" applyFill="1" applyBorder="1" applyAlignment="1" applyProtection="1">
      <alignment vertical="center"/>
    </xf>
    <xf numFmtId="11" fontId="8" fillId="0" borderId="18" xfId="1" applyNumberFormat="1" applyFont="1" applyFill="1" applyBorder="1" applyAlignment="1" applyProtection="1">
      <alignment horizontal="center" vertical="center"/>
    </xf>
    <xf numFmtId="1" fontId="8" fillId="6" borderId="18" xfId="1" applyNumberFormat="1" applyFont="1" applyFill="1" applyBorder="1" applyAlignment="1" applyProtection="1">
      <alignment horizontal="center" vertical="center"/>
    </xf>
    <xf numFmtId="0" fontId="16" fillId="0" borderId="43" xfId="1" applyFont="1" applyFill="1" applyBorder="1" applyAlignment="1" applyProtection="1">
      <alignment vertical="center"/>
    </xf>
    <xf numFmtId="0" fontId="17" fillId="0" borderId="44" xfId="0" applyFont="1" applyFill="1" applyBorder="1" applyAlignment="1" applyProtection="1">
      <alignment vertical="center"/>
    </xf>
    <xf numFmtId="11" fontId="8" fillId="0" borderId="26" xfId="1" applyNumberFormat="1" applyFont="1" applyFill="1" applyBorder="1" applyAlignment="1" applyProtection="1">
      <alignment horizontal="center" vertical="center"/>
    </xf>
    <xf numFmtId="0" fontId="16" fillId="8" borderId="40" xfId="1" applyFont="1" applyFill="1" applyBorder="1" applyAlignment="1" applyProtection="1">
      <alignment horizontal="right" vertical="center"/>
    </xf>
    <xf numFmtId="0" fontId="16" fillId="8" borderId="40" xfId="1" applyFont="1" applyFill="1" applyBorder="1" applyAlignment="1" applyProtection="1">
      <alignment vertical="center"/>
    </xf>
    <xf numFmtId="0" fontId="16" fillId="8" borderId="53" xfId="1" applyFont="1" applyFill="1" applyBorder="1" applyAlignment="1" applyProtection="1">
      <alignment vertical="center"/>
    </xf>
    <xf numFmtId="0" fontId="16" fillId="8" borderId="41" xfId="1" applyFont="1" applyFill="1" applyBorder="1" applyAlignment="1" applyProtection="1">
      <alignment vertical="center"/>
    </xf>
    <xf numFmtId="0" fontId="16" fillId="8" borderId="55" xfId="1" applyFont="1" applyFill="1" applyBorder="1" applyAlignment="1" applyProtection="1">
      <alignment horizontal="right" vertical="center"/>
    </xf>
    <xf numFmtId="0" fontId="16" fillId="8" borderId="55" xfId="1" applyFont="1" applyFill="1" applyBorder="1" applyAlignment="1" applyProtection="1">
      <alignment vertical="center"/>
    </xf>
    <xf numFmtId="0" fontId="16" fillId="8" borderId="56" xfId="1" applyFont="1" applyFill="1" applyBorder="1" applyAlignment="1" applyProtection="1">
      <alignment vertical="center"/>
    </xf>
    <xf numFmtId="0" fontId="1" fillId="9" borderId="48" xfId="1" applyFont="1" applyFill="1" applyBorder="1" applyAlignment="1" applyProtection="1">
      <alignment horizontal="left" vertical="center"/>
    </xf>
    <xf numFmtId="2" fontId="16" fillId="6" borderId="51" xfId="1" applyNumberFormat="1" applyFont="1" applyFill="1" applyBorder="1" applyAlignment="1" applyProtection="1">
      <alignment horizontal="center" vertical="center"/>
    </xf>
    <xf numFmtId="0" fontId="1" fillId="9" borderId="55" xfId="1" applyFont="1" applyFill="1" applyBorder="1" applyAlignment="1" applyProtection="1">
      <alignment horizontal="left" vertical="center"/>
    </xf>
    <xf numFmtId="0" fontId="1" fillId="10" borderId="48" xfId="1" applyFont="1" applyFill="1" applyBorder="1" applyAlignment="1" applyProtection="1">
      <alignment horizontal="left" vertical="center"/>
    </xf>
    <xf numFmtId="0" fontId="1" fillId="10" borderId="40" xfId="1" applyFont="1" applyFill="1" applyBorder="1" applyAlignment="1" applyProtection="1">
      <alignment horizontal="left" vertical="center"/>
    </xf>
    <xf numFmtId="2" fontId="16" fillId="6" borderId="18" xfId="1" applyNumberFormat="1" applyFont="1" applyFill="1" applyBorder="1" applyAlignment="1" applyProtection="1">
      <alignment horizontal="center" vertical="center"/>
    </xf>
    <xf numFmtId="0" fontId="16" fillId="10" borderId="40" xfId="1" applyFont="1" applyFill="1" applyBorder="1" applyAlignment="1" applyProtection="1">
      <alignment horizontal="left" vertical="center"/>
    </xf>
    <xf numFmtId="0" fontId="1" fillId="10" borderId="55" xfId="1" applyFont="1" applyFill="1" applyBorder="1" applyAlignment="1" applyProtection="1">
      <alignment horizontal="left" vertical="center"/>
    </xf>
    <xf numFmtId="0" fontId="1" fillId="11" borderId="48" xfId="1" applyFont="1" applyFill="1" applyBorder="1" applyAlignment="1" applyProtection="1">
      <alignment horizontal="left" vertical="center"/>
    </xf>
    <xf numFmtId="0" fontId="1" fillId="11" borderId="40" xfId="1" applyFont="1" applyFill="1" applyBorder="1" applyAlignment="1" applyProtection="1">
      <alignment horizontal="left" vertical="center"/>
    </xf>
    <xf numFmtId="0" fontId="1" fillId="11" borderId="43" xfId="1" applyFont="1" applyFill="1" applyBorder="1" applyAlignment="1" applyProtection="1">
      <alignment horizontal="left" vertical="center"/>
    </xf>
    <xf numFmtId="2" fontId="22" fillId="14" borderId="69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Border="1"/>
    <xf numFmtId="0" fontId="0" fillId="0" borderId="78" xfId="0" applyBorder="1"/>
    <xf numFmtId="0" fontId="0" fillId="0" borderId="0" xfId="0" applyFill="1" applyBorder="1"/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15" borderId="40" xfId="0" applyFill="1" applyBorder="1"/>
    <xf numFmtId="0" fontId="0" fillId="15" borderId="81" xfId="0" applyFill="1" applyBorder="1"/>
    <xf numFmtId="0" fontId="0" fillId="0" borderId="40" xfId="0" applyBorder="1" applyAlignment="1">
      <alignment horizontal="center" wrapText="1"/>
    </xf>
    <xf numFmtId="0" fontId="0" fillId="0" borderId="43" xfId="0" applyBorder="1"/>
    <xf numFmtId="0" fontId="0" fillId="0" borderId="29" xfId="0" applyBorder="1"/>
    <xf numFmtId="0" fontId="0" fillId="0" borderId="29" xfId="0" applyFill="1" applyBorder="1"/>
    <xf numFmtId="11" fontId="0" fillId="0" borderId="43" xfId="0" applyNumberFormat="1" applyBorder="1"/>
    <xf numFmtId="11" fontId="0" fillId="0" borderId="29" xfId="0" applyNumberFormat="1" applyBorder="1"/>
    <xf numFmtId="11" fontId="14" fillId="0" borderId="38" xfId="1" applyNumberFormat="1" applyFont="1" applyFill="1" applyBorder="1" applyAlignment="1" applyProtection="1">
      <alignment horizontal="center" vertical="center"/>
    </xf>
    <xf numFmtId="0" fontId="0" fillId="16" borderId="81" xfId="0" applyFill="1" applyBorder="1" applyAlignment="1">
      <alignment horizontal="center" vertical="center"/>
    </xf>
    <xf numFmtId="2" fontId="22" fillId="18" borderId="69" xfId="1" applyNumberFormat="1" applyFont="1" applyFill="1" applyBorder="1" applyAlignment="1" applyProtection="1">
      <alignment horizontal="left" vertical="center"/>
      <protection locked="0"/>
    </xf>
    <xf numFmtId="11" fontId="16" fillId="18" borderId="18" xfId="1" applyNumberFormat="1" applyFont="1" applyFill="1" applyBorder="1" applyAlignment="1" applyProtection="1">
      <alignment horizontal="center" vertical="center"/>
      <protection locked="0"/>
    </xf>
    <xf numFmtId="2" fontId="22" fillId="19" borderId="69" xfId="1" applyNumberFormat="1" applyFont="1" applyFill="1" applyBorder="1" applyAlignment="1" applyProtection="1">
      <alignment horizontal="left" vertical="center"/>
      <protection locked="0"/>
    </xf>
    <xf numFmtId="2" fontId="22" fillId="19" borderId="73" xfId="1" applyNumberFormat="1" applyFont="1" applyFill="1" applyBorder="1" applyAlignment="1" applyProtection="1">
      <alignment horizontal="left" vertical="center"/>
      <protection locked="0"/>
    </xf>
    <xf numFmtId="11" fontId="16" fillId="19" borderId="18" xfId="1" applyNumberFormat="1" applyFont="1" applyFill="1" applyBorder="1" applyAlignment="1" applyProtection="1">
      <alignment horizontal="center" vertical="center"/>
      <protection locked="0"/>
    </xf>
    <xf numFmtId="0" fontId="0" fillId="19" borderId="0" xfId="0" applyFill="1"/>
    <xf numFmtId="0" fontId="0" fillId="2" borderId="0" xfId="0" applyFill="1" applyProtection="1"/>
    <xf numFmtId="0" fontId="0" fillId="0" borderId="0" xfId="0" applyProtection="1"/>
    <xf numFmtId="0" fontId="8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1" fillId="2" borderId="0" xfId="0" applyFont="1" applyFill="1" applyProtection="1"/>
    <xf numFmtId="0" fontId="21" fillId="0" borderId="0" xfId="0" applyFont="1" applyProtection="1"/>
    <xf numFmtId="0" fontId="0" fillId="2" borderId="0" xfId="0" applyFill="1" applyBorder="1" applyProtection="1"/>
    <xf numFmtId="2" fontId="9" fillId="0" borderId="0" xfId="1" applyNumberFormat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center" vertical="center"/>
    </xf>
    <xf numFmtId="0" fontId="0" fillId="14" borderId="0" xfId="0" applyFill="1" applyProtection="1"/>
    <xf numFmtId="0" fontId="0" fillId="18" borderId="0" xfId="0" applyFill="1" applyProtection="1"/>
    <xf numFmtId="0" fontId="0" fillId="19" borderId="0" xfId="0" applyFill="1" applyProtection="1"/>
    <xf numFmtId="0" fontId="0" fillId="17" borderId="0" xfId="0" applyFill="1" applyProtection="1"/>
    <xf numFmtId="0" fontId="0" fillId="0" borderId="0" xfId="0" applyAlignment="1" applyProtection="1">
      <alignment horizontal="right"/>
    </xf>
    <xf numFmtId="0" fontId="0" fillId="0" borderId="40" xfId="0" applyBorder="1" applyProtection="1"/>
    <xf numFmtId="11" fontId="1" fillId="19" borderId="65" xfId="1" applyNumberFormat="1" applyFont="1" applyFill="1" applyBorder="1" applyAlignment="1" applyProtection="1">
      <alignment horizontal="center" vertical="center"/>
      <protection locked="0"/>
    </xf>
    <xf numFmtId="2" fontId="13" fillId="19" borderId="69" xfId="1" applyNumberFormat="1" applyFont="1" applyFill="1" applyBorder="1" applyAlignment="1" applyProtection="1">
      <alignment horizontal="left" vertical="center"/>
      <protection locked="0"/>
    </xf>
    <xf numFmtId="11" fontId="16" fillId="18" borderId="42" xfId="1" applyNumberFormat="1" applyFont="1" applyFill="1" applyBorder="1" applyAlignment="1" applyProtection="1">
      <alignment horizontal="center" vertical="center"/>
      <protection locked="0"/>
    </xf>
    <xf numFmtId="11" fontId="1" fillId="0" borderId="18" xfId="1" applyNumberFormat="1" applyFont="1" applyFill="1" applyBorder="1" applyAlignment="1" applyProtection="1">
      <alignment horizontal="center" vertical="center"/>
    </xf>
    <xf numFmtId="11" fontId="1" fillId="18" borderId="65" xfId="1" applyNumberFormat="1" applyFont="1" applyFill="1" applyBorder="1" applyAlignment="1" applyProtection="1">
      <alignment horizontal="center" vertical="center"/>
      <protection locked="0"/>
    </xf>
    <xf numFmtId="11" fontId="1" fillId="18" borderId="66" xfId="1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left" vertical="top" wrapText="1"/>
    </xf>
    <xf numFmtId="0" fontId="3" fillId="20" borderId="91" xfId="1" applyFont="1" applyFill="1" applyBorder="1" applyAlignment="1" applyProtection="1">
      <alignment horizontal="right" vertical="center"/>
    </xf>
    <xf numFmtId="2" fontId="16" fillId="6" borderId="38" xfId="1" applyNumberFormat="1" applyFont="1" applyFill="1" applyBorder="1" applyAlignment="1" applyProtection="1">
      <alignment horizontal="center" vertical="center"/>
    </xf>
    <xf numFmtId="0" fontId="1" fillId="8" borderId="28" xfId="1" applyFont="1" applyFill="1" applyBorder="1" applyAlignment="1" applyProtection="1">
      <alignment horizontal="left" vertical="center" wrapText="1"/>
    </xf>
    <xf numFmtId="11" fontId="1" fillId="0" borderId="38" xfId="1" applyNumberFormat="1" applyFont="1" applyFill="1" applyBorder="1" applyAlignment="1" applyProtection="1">
      <alignment horizontal="center" vertical="center"/>
    </xf>
    <xf numFmtId="0" fontId="11" fillId="7" borderId="94" xfId="1" applyFont="1" applyFill="1" applyBorder="1" applyAlignment="1" applyProtection="1">
      <alignment horizontal="left" vertical="center" wrapText="1"/>
    </xf>
    <xf numFmtId="0" fontId="18" fillId="7" borderId="95" xfId="0" applyFont="1" applyFill="1" applyBorder="1" applyAlignment="1" applyProtection="1">
      <alignment horizontal="left" vertical="center"/>
    </xf>
    <xf numFmtId="0" fontId="25" fillId="7" borderId="95" xfId="1" applyFont="1" applyFill="1" applyBorder="1" applyAlignment="1" applyProtection="1">
      <alignment horizontal="left" vertical="center" wrapText="1"/>
    </xf>
    <xf numFmtId="0" fontId="11" fillId="7" borderId="95" xfId="1" applyFont="1" applyFill="1" applyBorder="1" applyAlignment="1" applyProtection="1">
      <alignment horizontal="left" vertical="center" wrapText="1"/>
    </xf>
    <xf numFmtId="11" fontId="19" fillId="7" borderId="91" xfId="1" applyNumberFormat="1" applyFont="1" applyFill="1" applyBorder="1" applyAlignment="1" applyProtection="1">
      <alignment horizontal="center" vertical="center"/>
    </xf>
    <xf numFmtId="0" fontId="11" fillId="5" borderId="96" xfId="1" applyFont="1" applyFill="1" applyBorder="1" applyAlignment="1" applyProtection="1">
      <alignment horizontal="left" vertical="center" wrapText="1"/>
    </xf>
    <xf numFmtId="0" fontId="12" fillId="5" borderId="97" xfId="1" applyFont="1" applyFill="1" applyBorder="1" applyAlignment="1" applyProtection="1">
      <alignment horizontal="left" vertical="center" wrapText="1"/>
    </xf>
    <xf numFmtId="0" fontId="25" fillId="5" borderId="97" xfId="1" applyFont="1" applyFill="1" applyBorder="1" applyAlignment="1" applyProtection="1">
      <alignment horizontal="left" vertical="center" wrapText="1"/>
    </xf>
    <xf numFmtId="0" fontId="11" fillId="5" borderId="98" xfId="1" applyFont="1" applyFill="1" applyBorder="1" applyAlignment="1" applyProtection="1">
      <alignment horizontal="left" vertical="center" wrapText="1"/>
    </xf>
    <xf numFmtId="11" fontId="11" fillId="5" borderId="99" xfId="1" applyNumberFormat="1" applyFont="1" applyFill="1" applyBorder="1" applyAlignment="1" applyProtection="1">
      <alignment horizontal="center" vertical="center" wrapText="1"/>
    </xf>
    <xf numFmtId="11" fontId="11" fillId="5" borderId="100" xfId="1" applyNumberFormat="1" applyFont="1" applyFill="1" applyBorder="1" applyAlignment="1" applyProtection="1">
      <alignment horizontal="center" vertical="center" wrapText="1"/>
    </xf>
    <xf numFmtId="11" fontId="11" fillId="5" borderId="101" xfId="1" applyNumberFormat="1" applyFont="1" applyFill="1" applyBorder="1" applyAlignment="1" applyProtection="1">
      <alignment horizontal="center" vertical="center" wrapText="1"/>
    </xf>
    <xf numFmtId="11" fontId="11" fillId="5" borderId="103" xfId="1" applyNumberFormat="1" applyFont="1" applyFill="1" applyBorder="1" applyAlignment="1" applyProtection="1">
      <alignment horizontal="center" vertical="center" wrapText="1"/>
    </xf>
    <xf numFmtId="11" fontId="11" fillId="5" borderId="102" xfId="1" applyNumberFormat="1" applyFont="1" applyFill="1" applyBorder="1" applyAlignment="1" applyProtection="1">
      <alignment horizontal="center" vertical="center" wrapText="1"/>
    </xf>
    <xf numFmtId="11" fontId="11" fillId="5" borderId="104" xfId="1" applyNumberFormat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right" vertical="center"/>
    </xf>
    <xf numFmtId="0" fontId="13" fillId="19" borderId="111" xfId="1" applyFont="1" applyFill="1" applyBorder="1" applyAlignment="1" applyProtection="1">
      <alignment vertical="center"/>
      <protection locked="0"/>
    </xf>
    <xf numFmtId="0" fontId="0" fillId="0" borderId="28" xfId="0" applyFill="1" applyBorder="1"/>
    <xf numFmtId="0" fontId="0" fillId="16" borderId="40" xfId="0" applyFill="1" applyBorder="1" applyAlignment="1">
      <alignment horizontal="center" vertical="center" wrapText="1"/>
    </xf>
    <xf numFmtId="0" fontId="0" fillId="17" borderId="40" xfId="0" applyFill="1" applyBorder="1" applyAlignment="1">
      <alignment horizontal="center" vertical="center" wrapText="1"/>
    </xf>
    <xf numFmtId="0" fontId="17" fillId="0" borderId="46" xfId="0" applyFont="1" applyFill="1" applyBorder="1" applyAlignment="1" applyProtection="1">
      <alignment vertical="center" wrapText="1"/>
    </xf>
    <xf numFmtId="0" fontId="13" fillId="18" borderId="121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31" xfId="0" applyBorder="1"/>
    <xf numFmtId="0" fontId="0" fillId="0" borderId="124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25" xfId="0" applyBorder="1" applyProtection="1"/>
    <xf numFmtId="0" fontId="0" fillId="0" borderId="126" xfId="0" applyBorder="1" applyProtection="1"/>
    <xf numFmtId="0" fontId="0" fillId="0" borderId="0" xfId="0" applyBorder="1" applyProtection="1"/>
    <xf numFmtId="0" fontId="0" fillId="0" borderId="92" xfId="0" applyBorder="1" applyProtection="1"/>
    <xf numFmtId="0" fontId="0" fillId="0" borderId="79" xfId="0" applyBorder="1" applyProtection="1"/>
    <xf numFmtId="11" fontId="0" fillId="0" borderId="0" xfId="0" applyNumberFormat="1" applyBorder="1" applyProtection="1"/>
    <xf numFmtId="0" fontId="0" fillId="0" borderId="30" xfId="0" applyBorder="1" applyProtection="1"/>
    <xf numFmtId="11" fontId="0" fillId="0" borderId="79" xfId="0" applyNumberFormat="1" applyBorder="1" applyProtection="1"/>
    <xf numFmtId="0" fontId="0" fillId="0" borderId="125" xfId="0" applyBorder="1" applyAlignment="1" applyProtection="1">
      <alignment horizontal="center" vertical="center" wrapText="1"/>
    </xf>
    <xf numFmtId="0" fontId="0" fillId="0" borderId="126" xfId="0" applyBorder="1" applyAlignment="1" applyProtection="1">
      <alignment horizontal="center" vertical="center" wrapText="1"/>
    </xf>
    <xf numFmtId="0" fontId="0" fillId="0" borderId="127" xfId="0" applyBorder="1" applyAlignment="1" applyProtection="1">
      <alignment horizontal="center" vertical="center" wrapText="1"/>
    </xf>
    <xf numFmtId="0" fontId="0" fillId="0" borderId="125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3" fillId="18" borderId="108" xfId="1" applyFont="1" applyFill="1" applyBorder="1" applyAlignment="1" applyProtection="1">
      <alignment vertical="center"/>
      <protection locked="0"/>
    </xf>
    <xf numFmtId="11" fontId="0" fillId="0" borderId="126" xfId="0" applyNumberForma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131" xfId="0" applyBorder="1" applyProtection="1"/>
    <xf numFmtId="0" fontId="0" fillId="0" borderId="132" xfId="0" applyBorder="1" applyAlignment="1" applyProtection="1">
      <alignment horizontal="center" vertical="center" wrapText="1"/>
    </xf>
    <xf numFmtId="0" fontId="0" fillId="0" borderId="132" xfId="0" applyBorder="1" applyProtection="1"/>
    <xf numFmtId="0" fontId="0" fillId="0" borderId="21" xfId="0" applyBorder="1" applyProtection="1"/>
    <xf numFmtId="0" fontId="0" fillId="0" borderId="133" xfId="0" applyBorder="1" applyProtection="1"/>
    <xf numFmtId="0" fontId="0" fillId="0" borderId="134" xfId="0" applyBorder="1" applyProtection="1"/>
    <xf numFmtId="2" fontId="0" fillId="0" borderId="127" xfId="0" applyNumberFormat="1" applyBorder="1" applyProtection="1"/>
    <xf numFmtId="2" fontId="0" fillId="0" borderId="78" xfId="0" applyNumberFormat="1" applyBorder="1" applyProtection="1"/>
    <xf numFmtId="2" fontId="0" fillId="0" borderId="80" xfId="0" applyNumberFormat="1" applyBorder="1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Protection="1"/>
    <xf numFmtId="0" fontId="3" fillId="3" borderId="5" xfId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2" fontId="3" fillId="3" borderId="91" xfId="1" applyNumberFormat="1" applyFont="1" applyFill="1" applyBorder="1" applyAlignment="1" applyProtection="1">
      <alignment horizontal="center" vertical="center"/>
    </xf>
    <xf numFmtId="0" fontId="3" fillId="3" borderId="91" xfId="1" quotePrefix="1" applyFont="1" applyFill="1" applyBorder="1" applyAlignment="1" applyProtection="1">
      <alignment horizontal="center" vertical="center"/>
    </xf>
    <xf numFmtId="0" fontId="7" fillId="2" borderId="91" xfId="0" applyFont="1" applyFill="1" applyBorder="1" applyAlignment="1" applyProtection="1">
      <alignment horizontal="center" vertical="center" wrapText="1"/>
    </xf>
    <xf numFmtId="2" fontId="3" fillId="3" borderId="91" xfId="1" quotePrefix="1" applyNumberFormat="1" applyFont="1" applyFill="1" applyBorder="1" applyAlignment="1" applyProtection="1">
      <alignment horizontal="center" vertical="center"/>
    </xf>
    <xf numFmtId="0" fontId="13" fillId="18" borderId="135" xfId="1" applyFont="1" applyFill="1" applyBorder="1" applyAlignment="1" applyProtection="1">
      <alignment vertical="center"/>
      <protection locked="0"/>
    </xf>
    <xf numFmtId="11" fontId="0" fillId="0" borderId="131" xfId="0" applyNumberFormat="1" applyBorder="1" applyProtection="1"/>
    <xf numFmtId="4" fontId="0" fillId="0" borderId="131" xfId="0" applyNumberFormat="1" applyBorder="1" applyProtection="1"/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17" borderId="40" xfId="0" applyFill="1" applyBorder="1" applyAlignment="1">
      <alignment horizontal="center" vertical="center"/>
    </xf>
    <xf numFmtId="2" fontId="22" fillId="19" borderId="137" xfId="1" applyNumberFormat="1" applyFont="1" applyFill="1" applyBorder="1" applyAlignment="1" applyProtection="1">
      <alignment horizontal="left" vertical="center"/>
      <protection locked="0"/>
    </xf>
    <xf numFmtId="0" fontId="0" fillId="0" borderId="141" xfId="0" applyBorder="1" applyProtection="1"/>
    <xf numFmtId="2" fontId="22" fillId="18" borderId="145" xfId="1" applyNumberFormat="1" applyFont="1" applyFill="1" applyBorder="1" applyAlignment="1" applyProtection="1">
      <alignment horizontal="left" vertical="center"/>
      <protection locked="0"/>
    </xf>
    <xf numFmtId="0" fontId="23" fillId="13" borderId="150" xfId="1" applyFont="1" applyFill="1" applyBorder="1" applyAlignment="1" applyProtection="1">
      <alignment horizontal="left" vertical="center"/>
    </xf>
    <xf numFmtId="0" fontId="23" fillId="13" borderId="151" xfId="1" applyFont="1" applyFill="1" applyBorder="1" applyAlignment="1" applyProtection="1">
      <alignment horizontal="left" vertical="center"/>
    </xf>
    <xf numFmtId="0" fontId="23" fillId="13" borderId="152" xfId="1" applyFont="1" applyFill="1" applyBorder="1" applyAlignment="1" applyProtection="1">
      <alignment horizontal="left" vertical="center"/>
    </xf>
    <xf numFmtId="0" fontId="23" fillId="13" borderId="153" xfId="1" applyFont="1" applyFill="1" applyBorder="1" applyAlignment="1" applyProtection="1">
      <alignment horizontal="left" vertical="center"/>
    </xf>
    <xf numFmtId="0" fontId="23" fillId="13" borderId="154" xfId="1" applyFont="1" applyFill="1" applyBorder="1" applyAlignment="1" applyProtection="1">
      <alignment horizontal="left" vertical="center"/>
    </xf>
    <xf numFmtId="0" fontId="23" fillId="13" borderId="155" xfId="1" applyFont="1" applyFill="1" applyBorder="1" applyAlignment="1" applyProtection="1">
      <alignment horizontal="left" vertical="center"/>
    </xf>
    <xf numFmtId="0" fontId="13" fillId="14" borderId="158" xfId="1" applyFont="1" applyFill="1" applyBorder="1" applyAlignment="1" applyProtection="1">
      <alignment vertical="center"/>
      <protection locked="0"/>
    </xf>
    <xf numFmtId="0" fontId="13" fillId="14" borderId="160" xfId="1" applyFont="1" applyFill="1" applyBorder="1" applyAlignment="1" applyProtection="1">
      <alignment vertical="center"/>
      <protection locked="0"/>
    </xf>
    <xf numFmtId="0" fontId="0" fillId="0" borderId="161" xfId="0" applyBorder="1" applyProtection="1"/>
    <xf numFmtId="0" fontId="0" fillId="0" borderId="131" xfId="0" applyFill="1" applyBorder="1" applyProtection="1"/>
    <xf numFmtId="165" fontId="0" fillId="0" borderId="131" xfId="0" applyNumberFormat="1" applyFill="1" applyBorder="1" applyProtection="1"/>
    <xf numFmtId="4" fontId="0" fillId="0" borderId="131" xfId="0" applyNumberFormat="1" applyFill="1" applyBorder="1" applyProtection="1"/>
    <xf numFmtId="0" fontId="0" fillId="0" borderId="162" xfId="0" applyFill="1" applyBorder="1" applyProtection="1"/>
    <xf numFmtId="0" fontId="0" fillId="0" borderId="126" xfId="0" applyFill="1" applyBorder="1" applyAlignment="1" applyProtection="1">
      <alignment horizontal="center" vertical="center" wrapText="1"/>
    </xf>
    <xf numFmtId="0" fontId="0" fillId="0" borderId="127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2" fontId="0" fillId="0" borderId="125" xfId="0" applyNumberFormat="1" applyFill="1" applyBorder="1" applyProtection="1"/>
    <xf numFmtId="164" fontId="0" fillId="0" borderId="126" xfId="0" applyNumberFormat="1" applyFill="1" applyBorder="1" applyProtection="1"/>
    <xf numFmtId="2" fontId="0" fillId="0" borderId="127" xfId="0" applyNumberFormat="1" applyFill="1" applyBorder="1" applyProtection="1"/>
    <xf numFmtId="2" fontId="0" fillId="0" borderId="125" xfId="0" applyNumberFormat="1" applyFill="1" applyBorder="1"/>
    <xf numFmtId="2" fontId="0" fillId="0" borderId="126" xfId="0" applyNumberFormat="1" applyFill="1" applyBorder="1" applyProtection="1"/>
    <xf numFmtId="0" fontId="0" fillId="0" borderId="21" xfId="0" applyFill="1" applyBorder="1" applyProtection="1"/>
    <xf numFmtId="2" fontId="0" fillId="0" borderId="30" xfId="0" applyNumberFormat="1" applyFill="1" applyBorder="1" applyProtection="1"/>
    <xf numFmtId="164" fontId="0" fillId="0" borderId="0" xfId="0" applyNumberFormat="1" applyFill="1" applyBorder="1" applyProtection="1"/>
    <xf numFmtId="2" fontId="0" fillId="0" borderId="78" xfId="0" applyNumberFormat="1" applyFill="1" applyBorder="1" applyProtection="1"/>
    <xf numFmtId="2" fontId="0" fillId="0" borderId="30" xfId="0" applyNumberFormat="1" applyFill="1" applyBorder="1"/>
    <xf numFmtId="2" fontId="0" fillId="0" borderId="0" xfId="0" applyNumberFormat="1" applyFill="1" applyBorder="1" applyProtection="1"/>
    <xf numFmtId="2" fontId="0" fillId="0" borderId="30" xfId="0" applyNumberFormat="1" applyFill="1" applyBorder="1" applyAlignment="1">
      <alignment horizontal="right"/>
    </xf>
    <xf numFmtId="11" fontId="0" fillId="0" borderId="92" xfId="0" applyNumberFormat="1" applyFill="1" applyBorder="1" applyProtection="1"/>
    <xf numFmtId="11" fontId="0" fillId="0" borderId="79" xfId="0" applyNumberFormat="1" applyFill="1" applyBorder="1" applyProtection="1"/>
    <xf numFmtId="2" fontId="0" fillId="0" borderId="80" xfId="0" applyNumberFormat="1" applyFill="1" applyBorder="1" applyProtection="1"/>
    <xf numFmtId="11" fontId="0" fillId="0" borderId="30" xfId="0" applyNumberFormat="1" applyFill="1" applyBorder="1" applyProtection="1"/>
    <xf numFmtId="11" fontId="0" fillId="0" borderId="0" xfId="0" applyNumberFormat="1" applyFill="1" applyBorder="1" applyProtection="1"/>
    <xf numFmtId="2" fontId="0" fillId="0" borderId="92" xfId="0" applyNumberFormat="1" applyFill="1" applyBorder="1" applyProtection="1"/>
    <xf numFmtId="2" fontId="0" fillId="0" borderId="79" xfId="0" applyNumberFormat="1" applyFill="1" applyBorder="1" applyProtection="1"/>
    <xf numFmtId="0" fontId="0" fillId="0" borderId="0" xfId="0" applyFill="1" applyBorder="1" applyProtection="1"/>
    <xf numFmtId="11" fontId="0" fillId="0" borderId="126" xfId="0" applyNumberFormat="1" applyFill="1" applyBorder="1" applyProtection="1"/>
    <xf numFmtId="11" fontId="0" fillId="0" borderId="127" xfId="0" applyNumberFormat="1" applyFill="1" applyBorder="1" applyProtection="1"/>
    <xf numFmtId="2" fontId="0" fillId="0" borderId="0" xfId="0" applyNumberFormat="1" applyFill="1" applyBorder="1"/>
    <xf numFmtId="11" fontId="0" fillId="0" borderId="78" xfId="0" applyNumberFormat="1" applyFill="1" applyBorder="1" applyProtection="1"/>
    <xf numFmtId="0" fontId="0" fillId="0" borderId="0" xfId="0" applyAlignment="1" applyProtection="1">
      <alignment horizontal="left" vertical="top" wrapText="1"/>
    </xf>
    <xf numFmtId="2" fontId="0" fillId="0" borderId="0" xfId="0" applyNumberFormat="1"/>
    <xf numFmtId="11" fontId="0" fillId="0" borderId="78" xfId="0" applyNumberFormat="1" applyBorder="1" applyProtection="1"/>
    <xf numFmtId="0" fontId="0" fillId="0" borderId="0" xfId="0" applyAlignment="1" applyProtection="1">
      <alignment horizontal="left" vertical="top"/>
    </xf>
    <xf numFmtId="0" fontId="0" fillId="0" borderId="29" xfId="0" applyFill="1" applyBorder="1" applyAlignment="1">
      <alignment horizontal="left" vertical="top" wrapText="1"/>
    </xf>
    <xf numFmtId="0" fontId="0" fillId="0" borderId="31" xfId="0" applyFill="1" applyBorder="1"/>
    <xf numFmtId="0" fontId="0" fillId="0" borderId="0" xfId="0" quotePrefix="1" applyAlignment="1" applyProtection="1">
      <alignment horizontal="left" vertical="top" wrapText="1"/>
    </xf>
    <xf numFmtId="0" fontId="13" fillId="0" borderId="148" xfId="1" applyFont="1" applyFill="1" applyBorder="1" applyAlignment="1" applyProtection="1">
      <alignment horizontal="center" vertical="center"/>
    </xf>
    <xf numFmtId="0" fontId="13" fillId="0" borderId="149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166" fontId="9" fillId="21" borderId="115" xfId="1" applyNumberFormat="1" applyFont="1" applyFill="1" applyBorder="1" applyAlignment="1" applyProtection="1">
      <alignment horizontal="center" vertical="center"/>
    </xf>
    <xf numFmtId="0" fontId="13" fillId="18" borderId="21" xfId="1" applyFont="1" applyFill="1" applyBorder="1" applyAlignment="1" applyProtection="1">
      <alignment vertical="center"/>
      <protection locked="0"/>
    </xf>
    <xf numFmtId="0" fontId="13" fillId="14" borderId="121" xfId="1" applyFont="1" applyFill="1" applyBorder="1" applyAlignment="1" applyProtection="1">
      <alignment vertical="center"/>
      <protection locked="0"/>
    </xf>
    <xf numFmtId="0" fontId="18" fillId="7" borderId="95" xfId="0" applyFont="1" applyFill="1" applyBorder="1" applyAlignment="1" applyProtection="1">
      <alignment horizontal="left" vertical="center" wrapText="1"/>
    </xf>
    <xf numFmtId="0" fontId="25" fillId="7" borderId="170" xfId="1" applyFont="1" applyFill="1" applyBorder="1" applyAlignment="1" applyProtection="1">
      <alignment horizontal="left" vertical="center" wrapText="1"/>
    </xf>
    <xf numFmtId="0" fontId="11" fillId="7" borderId="3" xfId="1" applyFont="1" applyFill="1" applyBorder="1" applyAlignment="1" applyProtection="1">
      <alignment horizontal="left" vertical="center" wrapText="1"/>
    </xf>
    <xf numFmtId="0" fontId="13" fillId="2" borderId="177" xfId="1" applyFont="1" applyFill="1" applyBorder="1" applyAlignment="1" applyProtection="1">
      <alignment vertical="center" wrapText="1"/>
    </xf>
    <xf numFmtId="0" fontId="13" fillId="2" borderId="50" xfId="1" applyFont="1" applyFill="1" applyBorder="1" applyAlignment="1" applyProtection="1">
      <alignment vertical="center" wrapText="1"/>
    </xf>
    <xf numFmtId="0" fontId="13" fillId="2" borderId="77" xfId="1" applyFont="1" applyFill="1" applyBorder="1" applyAlignment="1" applyProtection="1">
      <alignment vertical="center" wrapText="1"/>
    </xf>
    <xf numFmtId="0" fontId="13" fillId="2" borderId="60" xfId="1" applyFont="1" applyFill="1" applyBorder="1" applyAlignment="1" applyProtection="1">
      <alignment vertical="center" wrapText="1"/>
    </xf>
    <xf numFmtId="0" fontId="13" fillId="2" borderId="79" xfId="1" applyFont="1" applyFill="1" applyBorder="1" applyAlignment="1" applyProtection="1">
      <alignment vertical="center" wrapText="1"/>
    </xf>
    <xf numFmtId="0" fontId="13" fillId="2" borderId="93" xfId="1" applyFont="1" applyFill="1" applyBorder="1" applyAlignment="1" applyProtection="1">
      <alignment vertical="center" wrapText="1"/>
    </xf>
    <xf numFmtId="0" fontId="13" fillId="2" borderId="175" xfId="1" applyFont="1" applyFill="1" applyBorder="1" applyAlignment="1" applyProtection="1">
      <alignment vertical="center" wrapText="1"/>
    </xf>
    <xf numFmtId="0" fontId="13" fillId="2" borderId="176" xfId="1" applyFont="1" applyFill="1" applyBorder="1" applyAlignment="1" applyProtection="1">
      <alignment vertical="center" wrapText="1"/>
    </xf>
    <xf numFmtId="0" fontId="13" fillId="2" borderId="182" xfId="1" applyFont="1" applyFill="1" applyBorder="1" applyAlignment="1" applyProtection="1">
      <alignment horizontal="center" vertical="center" wrapText="1"/>
    </xf>
    <xf numFmtId="0" fontId="13" fillId="19" borderId="181" xfId="1" applyFont="1" applyFill="1" applyBorder="1" applyAlignment="1" applyProtection="1">
      <alignment vertical="center"/>
      <protection locked="0"/>
    </xf>
    <xf numFmtId="11" fontId="0" fillId="0" borderId="40" xfId="0" applyNumberFormat="1" applyBorder="1"/>
    <xf numFmtId="0" fontId="0" fillId="0" borderId="3" xfId="0" applyBorder="1" applyAlignment="1">
      <alignment vertical="top"/>
    </xf>
    <xf numFmtId="0" fontId="0" fillId="14" borderId="0" xfId="0" applyFill="1"/>
    <xf numFmtId="0" fontId="0" fillId="0" borderId="30" xfId="0" applyBorder="1"/>
    <xf numFmtId="0" fontId="3" fillId="3" borderId="3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31" fillId="0" borderId="0" xfId="0" applyFont="1" applyAlignment="1" applyProtection="1">
      <alignment horizontal="left" vertical="center" wrapText="1"/>
    </xf>
    <xf numFmtId="0" fontId="0" fillId="0" borderId="81" xfId="0" applyFill="1" applyBorder="1"/>
    <xf numFmtId="0" fontId="0" fillId="0" borderId="43" xfId="0" applyFill="1" applyBorder="1" applyAlignment="1">
      <alignment horizontal="left" vertical="top" wrapText="1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167" fontId="31" fillId="0" borderId="0" xfId="0" quotePrefix="1" applyNumberFormat="1" applyFont="1" applyAlignment="1" applyProtection="1">
      <alignment horizontal="center" vertical="center" wrapText="1"/>
    </xf>
    <xf numFmtId="10" fontId="31" fillId="0" borderId="0" xfId="0" applyNumberFormat="1" applyFont="1" applyAlignment="1" applyProtection="1">
      <alignment horizontal="center" vertical="center"/>
    </xf>
    <xf numFmtId="0" fontId="0" fillId="15" borderId="53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0" fontId="33" fillId="0" borderId="0" xfId="0" applyFont="1"/>
    <xf numFmtId="0" fontId="0" fillId="0" borderId="0" xfId="0" applyBorder="1" applyAlignment="1">
      <alignment horizontal="left" vertical="top" wrapText="1"/>
    </xf>
    <xf numFmtId="0" fontId="0" fillId="0" borderId="78" xfId="0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3" xfId="0" applyFill="1" applyBorder="1" applyAlignment="1">
      <alignment horizontal="right" vertical="top" wrapText="1"/>
    </xf>
    <xf numFmtId="0" fontId="0" fillId="0" borderId="43" xfId="0" applyBorder="1" applyAlignment="1">
      <alignment horizontal="center" wrapText="1"/>
    </xf>
    <xf numFmtId="0" fontId="0" fillId="0" borderId="29" xfId="0" applyFill="1" applyBorder="1" applyAlignment="1">
      <alignment horizontal="right" vertical="top" wrapText="1"/>
    </xf>
    <xf numFmtId="0" fontId="0" fillId="0" borderId="183" xfId="0" applyBorder="1"/>
    <xf numFmtId="0" fontId="0" fillId="0" borderId="53" xfId="0" applyBorder="1" applyAlignment="1">
      <alignment horizontal="left" vertical="top" wrapText="1"/>
    </xf>
    <xf numFmtId="0" fontId="0" fillId="0" borderId="40" xfId="0" applyFill="1" applyBorder="1" applyAlignment="1">
      <alignment horizontal="right" vertical="top" wrapText="1"/>
    </xf>
    <xf numFmtId="0" fontId="0" fillId="0" borderId="82" xfId="0" applyBorder="1"/>
    <xf numFmtId="0" fontId="0" fillId="0" borderId="40" xfId="0" applyBorder="1"/>
    <xf numFmtId="0" fontId="0" fillId="22" borderId="29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43" xfId="0" applyFill="1" applyBorder="1"/>
    <xf numFmtId="0" fontId="0" fillId="0" borderId="78" xfId="0" applyFill="1" applyBorder="1"/>
    <xf numFmtId="0" fontId="0" fillId="0" borderId="79" xfId="0" applyBorder="1"/>
    <xf numFmtId="0" fontId="29" fillId="0" borderId="79" xfId="0" applyFont="1" applyBorder="1"/>
    <xf numFmtId="0" fontId="0" fillId="0" borderId="30" xfId="0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4" fillId="0" borderId="0" xfId="0" applyFont="1" applyAlignment="1" applyProtection="1">
      <alignment horizontal="center" vertical="center"/>
    </xf>
    <xf numFmtId="11" fontId="9" fillId="21" borderId="115" xfId="1" applyNumberFormat="1" applyFont="1" applyFill="1" applyBorder="1" applyAlignment="1" applyProtection="1">
      <alignment horizontal="center" vertical="center"/>
    </xf>
    <xf numFmtId="0" fontId="0" fillId="22" borderId="0" xfId="0" applyFill="1"/>
    <xf numFmtId="0" fontId="35" fillId="24" borderId="0" xfId="0" applyFont="1" applyFill="1"/>
    <xf numFmtId="0" fontId="35" fillId="25" borderId="0" xfId="0" applyFont="1" applyFill="1"/>
    <xf numFmtId="0" fontId="36" fillId="0" borderId="0" xfId="0" applyFont="1"/>
    <xf numFmtId="0" fontId="38" fillId="0" borderId="0" xfId="0" applyFont="1"/>
    <xf numFmtId="0" fontId="40" fillId="0" borderId="0" xfId="0" applyFont="1"/>
    <xf numFmtId="0" fontId="41" fillId="0" borderId="0" xfId="0" applyFont="1"/>
    <xf numFmtId="11" fontId="40" fillId="0" borderId="0" xfId="0" applyNumberFormat="1" applyFont="1"/>
    <xf numFmtId="0" fontId="0" fillId="24" borderId="0" xfId="0" applyFill="1"/>
    <xf numFmtId="0" fontId="42" fillId="24" borderId="0" xfId="0" applyFont="1" applyFill="1"/>
    <xf numFmtId="0" fontId="40" fillId="26" borderId="0" xfId="0" applyFont="1" applyFill="1"/>
    <xf numFmtId="0" fontId="0" fillId="26" borderId="0" xfId="0" applyFill="1"/>
    <xf numFmtId="0" fontId="34" fillId="24" borderId="0" xfId="0" applyFont="1" applyFill="1"/>
    <xf numFmtId="0" fontId="40" fillId="0" borderId="0" xfId="0" applyFont="1"/>
    <xf numFmtId="0" fontId="40" fillId="0" borderId="0" xfId="0" applyFont="1"/>
    <xf numFmtId="4" fontId="13" fillId="18" borderId="72" xfId="1" applyNumberFormat="1" applyFont="1" applyFill="1" applyBorder="1" applyAlignment="1" applyProtection="1">
      <alignment vertical="center"/>
      <protection locked="0"/>
    </xf>
    <xf numFmtId="4" fontId="22" fillId="18" borderId="72" xfId="1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/>
    <xf numFmtId="11" fontId="41" fillId="0" borderId="0" xfId="0" applyNumberFormat="1" applyFont="1"/>
    <xf numFmtId="2" fontId="0" fillId="18" borderId="0" xfId="0" applyNumberFormat="1" applyFill="1"/>
    <xf numFmtId="0" fontId="40" fillId="0" borderId="0" xfId="0" applyFont="1"/>
    <xf numFmtId="0" fontId="0" fillId="0" borderId="0" xfId="0" applyAlignment="1" applyProtection="1">
      <alignment horizontal="left" vertical="top" wrapText="1"/>
    </xf>
    <xf numFmtId="0" fontId="13" fillId="12" borderId="61" xfId="1" applyFont="1" applyFill="1" applyBorder="1" applyAlignment="1" applyProtection="1">
      <alignment horizontal="center" vertical="center" wrapText="1"/>
    </xf>
    <xf numFmtId="0" fontId="13" fillId="12" borderId="62" xfId="1" applyFont="1" applyFill="1" applyBorder="1" applyAlignment="1" applyProtection="1">
      <alignment horizontal="center" vertical="center" wrapText="1"/>
    </xf>
    <xf numFmtId="0" fontId="1" fillId="12" borderId="138" xfId="1" applyFont="1" applyFill="1" applyBorder="1" applyAlignment="1" applyProtection="1">
      <alignment horizontal="center" vertical="center"/>
    </xf>
    <xf numFmtId="0" fontId="1" fillId="12" borderId="136" xfId="1" applyFont="1" applyFill="1" applyBorder="1" applyAlignment="1" applyProtection="1">
      <alignment horizontal="center" vertical="center"/>
    </xf>
    <xf numFmtId="0" fontId="1" fillId="11" borderId="49" xfId="1" applyFont="1" applyFill="1" applyBorder="1" applyAlignment="1" applyProtection="1">
      <alignment horizontal="left" vertical="center"/>
    </xf>
    <xf numFmtId="0" fontId="20" fillId="11" borderId="50" xfId="0" applyFont="1" applyFill="1" applyBorder="1" applyAlignment="1" applyProtection="1">
      <alignment horizontal="left" vertical="center"/>
    </xf>
    <xf numFmtId="0" fontId="1" fillId="11" borderId="53" xfId="1" applyFont="1" applyFill="1" applyBorder="1" applyAlignment="1" applyProtection="1">
      <alignment horizontal="left" vertical="center"/>
    </xf>
    <xf numFmtId="0" fontId="20" fillId="11" borderId="58" xfId="0" applyFont="1" applyFill="1" applyBorder="1" applyAlignment="1" applyProtection="1">
      <alignment horizontal="left" vertical="center"/>
    </xf>
    <xf numFmtId="0" fontId="22" fillId="9" borderId="47" xfId="1" applyFont="1" applyFill="1" applyBorder="1" applyAlignment="1" applyProtection="1">
      <alignment horizontal="center" vertical="center"/>
    </xf>
    <xf numFmtId="0" fontId="17" fillId="9" borderId="54" xfId="0" applyFont="1" applyFill="1" applyBorder="1" applyAlignment="1" applyProtection="1">
      <alignment horizontal="center" vertical="center"/>
    </xf>
    <xf numFmtId="0" fontId="1" fillId="9" borderId="49" xfId="1" applyFont="1" applyFill="1" applyBorder="1" applyAlignment="1" applyProtection="1">
      <alignment horizontal="left" vertical="center"/>
    </xf>
    <xf numFmtId="0" fontId="20" fillId="9" borderId="50" xfId="0" applyFont="1" applyFill="1" applyBorder="1" applyAlignment="1" applyProtection="1">
      <alignment horizontal="left" vertical="center"/>
    </xf>
    <xf numFmtId="0" fontId="1" fillId="9" borderId="56" xfId="1" applyFont="1" applyFill="1" applyBorder="1" applyAlignment="1" applyProtection="1">
      <alignment horizontal="left" vertical="center"/>
    </xf>
    <xf numFmtId="0" fontId="20" fillId="9" borderId="57" xfId="0" applyFont="1" applyFill="1" applyBorder="1" applyAlignment="1" applyProtection="1">
      <alignment horizontal="left" vertical="center"/>
    </xf>
    <xf numFmtId="0" fontId="1" fillId="10" borderId="53" xfId="1" applyFont="1" applyFill="1" applyBorder="1" applyAlignment="1" applyProtection="1">
      <alignment horizontal="left" vertical="top"/>
    </xf>
    <xf numFmtId="0" fontId="1" fillId="10" borderId="58" xfId="1" applyFont="1" applyFill="1" applyBorder="1" applyAlignment="1" applyProtection="1">
      <alignment horizontal="left" vertical="top"/>
    </xf>
    <xf numFmtId="0" fontId="16" fillId="10" borderId="53" xfId="1" applyFont="1" applyFill="1" applyBorder="1" applyAlignment="1" applyProtection="1">
      <alignment horizontal="left" vertical="top"/>
    </xf>
    <xf numFmtId="0" fontId="16" fillId="10" borderId="58" xfId="1" applyFont="1" applyFill="1" applyBorder="1" applyAlignment="1" applyProtection="1">
      <alignment horizontal="left" vertical="top"/>
    </xf>
    <xf numFmtId="0" fontId="13" fillId="10" borderId="47" xfId="1" applyFont="1" applyFill="1" applyBorder="1" applyAlignment="1" applyProtection="1">
      <alignment horizontal="center" vertical="center"/>
    </xf>
    <xf numFmtId="0" fontId="0" fillId="10" borderId="52" xfId="0" applyFill="1" applyBorder="1" applyAlignment="1" applyProtection="1">
      <alignment horizontal="center" vertical="center"/>
    </xf>
    <xf numFmtId="0" fontId="0" fillId="10" borderId="59" xfId="0" applyFill="1" applyBorder="1" applyAlignment="1" applyProtection="1">
      <alignment horizontal="center" vertical="center"/>
    </xf>
    <xf numFmtId="0" fontId="0" fillId="10" borderId="54" xfId="0" applyFill="1" applyBorder="1" applyAlignment="1" applyProtection="1">
      <alignment horizontal="center" vertical="center"/>
    </xf>
    <xf numFmtId="0" fontId="1" fillId="10" borderId="49" xfId="1" applyFont="1" applyFill="1" applyBorder="1" applyAlignment="1" applyProtection="1">
      <alignment horizontal="left" vertical="center"/>
    </xf>
    <xf numFmtId="0" fontId="20" fillId="10" borderId="50" xfId="0" applyFont="1" applyFill="1" applyBorder="1" applyAlignment="1" applyProtection="1">
      <alignment horizontal="left" vertical="center"/>
    </xf>
    <xf numFmtId="0" fontId="1" fillId="10" borderId="53" xfId="1" applyFont="1" applyFill="1" applyBorder="1" applyAlignment="1" applyProtection="1">
      <alignment horizontal="left" vertical="center"/>
    </xf>
    <xf numFmtId="0" fontId="20" fillId="10" borderId="58" xfId="0" applyFont="1" applyFill="1" applyBorder="1" applyAlignment="1" applyProtection="1">
      <alignment horizontal="left" vertical="center"/>
    </xf>
    <xf numFmtId="0" fontId="13" fillId="0" borderId="86" xfId="1" applyFont="1" applyFill="1" applyBorder="1" applyAlignment="1" applyProtection="1">
      <alignment horizontal="left"/>
    </xf>
    <xf numFmtId="0" fontId="0" fillId="0" borderId="68" xfId="0" applyBorder="1" applyAlignment="1" applyProtection="1">
      <alignment horizontal="left"/>
    </xf>
    <xf numFmtId="0" fontId="13" fillId="0" borderId="156" xfId="1" applyFont="1" applyFill="1" applyBorder="1" applyAlignment="1" applyProtection="1">
      <alignment horizontal="right" vertical="center"/>
    </xf>
    <xf numFmtId="0" fontId="13" fillId="0" borderId="148" xfId="1" applyFont="1" applyFill="1" applyBorder="1" applyAlignment="1" applyProtection="1">
      <alignment horizontal="right" vertical="center"/>
    </xf>
    <xf numFmtId="0" fontId="13" fillId="0" borderId="157" xfId="1" applyFont="1" applyFill="1" applyBorder="1" applyAlignment="1" applyProtection="1">
      <alignment horizontal="right" vertical="center"/>
    </xf>
    <xf numFmtId="0" fontId="13" fillId="2" borderId="128" xfId="1" applyFont="1" applyFill="1" applyBorder="1" applyAlignment="1" applyProtection="1">
      <alignment horizontal="right" vertical="center" wrapText="1"/>
    </xf>
    <xf numFmtId="0" fontId="13" fillId="2" borderId="129" xfId="1" applyFont="1" applyFill="1" applyBorder="1" applyAlignment="1" applyProtection="1">
      <alignment horizontal="right" vertical="center" wrapText="1"/>
    </xf>
    <xf numFmtId="0" fontId="13" fillId="2" borderId="130" xfId="1" applyFont="1" applyFill="1" applyBorder="1" applyAlignment="1" applyProtection="1">
      <alignment horizontal="right" vertical="center" wrapText="1"/>
    </xf>
    <xf numFmtId="0" fontId="13" fillId="0" borderId="148" xfId="1" applyFont="1" applyFill="1" applyBorder="1" applyAlignment="1" applyProtection="1">
      <alignment horizontal="center" vertical="center"/>
    </xf>
    <xf numFmtId="0" fontId="13" fillId="0" borderId="149" xfId="1" applyFont="1" applyFill="1" applyBorder="1" applyAlignment="1" applyProtection="1">
      <alignment horizontal="center" vertical="center"/>
    </xf>
    <xf numFmtId="0" fontId="13" fillId="0" borderId="171" xfId="1" applyFont="1" applyFill="1" applyBorder="1" applyAlignment="1" applyProtection="1">
      <alignment horizontal="right" vertical="center"/>
    </xf>
    <xf numFmtId="0" fontId="13" fillId="0" borderId="172" xfId="1" applyFont="1" applyFill="1" applyBorder="1" applyAlignment="1" applyProtection="1">
      <alignment horizontal="right" vertical="center"/>
    </xf>
    <xf numFmtId="0" fontId="13" fillId="0" borderId="173" xfId="1" applyFont="1" applyFill="1" applyBorder="1" applyAlignment="1" applyProtection="1">
      <alignment horizontal="right" vertical="center"/>
    </xf>
    <xf numFmtId="0" fontId="13" fillId="0" borderId="172" xfId="1" applyFont="1" applyFill="1" applyBorder="1" applyAlignment="1" applyProtection="1">
      <alignment horizontal="center" vertical="center"/>
    </xf>
    <xf numFmtId="0" fontId="13" fillId="0" borderId="174" xfId="1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3" xfId="0" applyFont="1" applyFill="1" applyBorder="1" applyAlignment="1" applyProtection="1">
      <alignment horizontal="left" vertical="top"/>
    </xf>
    <xf numFmtId="0" fontId="27" fillId="2" borderId="4" xfId="0" applyFont="1" applyFill="1" applyBorder="1" applyAlignment="1" applyProtection="1">
      <alignment horizontal="left" vertical="top"/>
    </xf>
    <xf numFmtId="2" fontId="28" fillId="0" borderId="2" xfId="0" applyNumberFormat="1" applyFont="1" applyBorder="1" applyAlignment="1" applyProtection="1">
      <alignment horizontal="center" vertical="center"/>
    </xf>
    <xf numFmtId="2" fontId="28" fillId="0" borderId="4" xfId="0" applyNumberFormat="1" applyFont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" fillId="10" borderId="56" xfId="1" applyFont="1" applyFill="1" applyBorder="1" applyAlignment="1" applyProtection="1">
      <alignment horizontal="left" vertical="center"/>
    </xf>
    <xf numFmtId="0" fontId="20" fillId="10" borderId="57" xfId="0" applyFont="1" applyFill="1" applyBorder="1" applyAlignment="1" applyProtection="1">
      <alignment horizontal="left" vertical="center"/>
    </xf>
    <xf numFmtId="0" fontId="27" fillId="2" borderId="5" xfId="0" applyFont="1" applyFill="1" applyBorder="1" applyAlignment="1" applyProtection="1">
      <alignment horizontal="left" vertical="top"/>
    </xf>
    <xf numFmtId="0" fontId="27" fillId="2" borderId="6" xfId="0" applyFont="1" applyFill="1" applyBorder="1" applyAlignment="1" applyProtection="1">
      <alignment horizontal="left" vertical="top"/>
    </xf>
    <xf numFmtId="0" fontId="27" fillId="2" borderId="7" xfId="0" applyFont="1" applyFill="1" applyBorder="1" applyAlignment="1" applyProtection="1">
      <alignment horizontal="left" vertical="top"/>
    </xf>
    <xf numFmtId="0" fontId="2" fillId="14" borderId="2" xfId="1" applyFont="1" applyFill="1" applyBorder="1" applyAlignment="1" applyProtection="1">
      <alignment horizontal="center" vertical="center"/>
      <protection locked="0"/>
    </xf>
    <xf numFmtId="0" fontId="2" fillId="14" borderId="4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right" vertical="center"/>
    </xf>
    <xf numFmtId="0" fontId="3" fillId="3" borderId="4" xfId="1" applyFont="1" applyFill="1" applyBorder="1" applyAlignment="1" applyProtection="1">
      <alignment horizontal="right" vertical="center"/>
    </xf>
    <xf numFmtId="11" fontId="14" fillId="2" borderId="9" xfId="1" applyNumberFormat="1" applyFont="1" applyFill="1" applyBorder="1" applyAlignment="1" applyProtection="1">
      <alignment horizontal="center" vertical="center"/>
    </xf>
    <xf numFmtId="11" fontId="15" fillId="2" borderId="11" xfId="0" applyNumberFormat="1" applyFont="1" applyFill="1" applyBorder="1" applyAlignment="1" applyProtection="1">
      <alignment horizontal="center" vertical="center"/>
    </xf>
    <xf numFmtId="11" fontId="15" fillId="2" borderId="36" xfId="0" applyNumberFormat="1" applyFont="1" applyFill="1" applyBorder="1" applyAlignment="1" applyProtection="1">
      <alignment horizontal="center" vertical="center"/>
    </xf>
    <xf numFmtId="11" fontId="1" fillId="19" borderId="26" xfId="1" applyNumberFormat="1" applyFont="1" applyFill="1" applyBorder="1" applyAlignment="1" applyProtection="1">
      <alignment horizontal="center" vertical="center"/>
      <protection locked="0"/>
    </xf>
    <xf numFmtId="11" fontId="1" fillId="19" borderId="11" xfId="1" applyNumberFormat="1" applyFont="1" applyFill="1" applyBorder="1" applyAlignment="1" applyProtection="1">
      <alignment horizontal="center" vertical="center"/>
      <protection locked="0"/>
    </xf>
    <xf numFmtId="11" fontId="1" fillId="19" borderId="36" xfId="1" applyNumberFormat="1" applyFont="1" applyFill="1" applyBorder="1" applyAlignment="1" applyProtection="1">
      <alignment horizontal="center" vertical="center"/>
      <protection locked="0"/>
    </xf>
    <xf numFmtId="11" fontId="1" fillId="18" borderId="26" xfId="1" applyNumberFormat="1" applyFont="1" applyFill="1" applyBorder="1" applyAlignment="1" applyProtection="1">
      <alignment horizontal="center" vertical="center"/>
      <protection locked="0"/>
    </xf>
    <xf numFmtId="11" fontId="1" fillId="18" borderId="11" xfId="1" applyNumberFormat="1" applyFont="1" applyFill="1" applyBorder="1" applyAlignment="1" applyProtection="1">
      <alignment horizontal="center" vertical="center"/>
      <protection locked="0"/>
    </xf>
    <xf numFmtId="11" fontId="1" fillId="18" borderId="36" xfId="1" applyNumberFormat="1" applyFont="1" applyFill="1" applyBorder="1" applyAlignment="1" applyProtection="1">
      <alignment horizontal="center" vertical="center"/>
      <protection locked="0"/>
    </xf>
    <xf numFmtId="11" fontId="1" fillId="18" borderId="45" xfId="1" applyNumberFormat="1" applyFont="1" applyFill="1" applyBorder="1" applyAlignment="1" applyProtection="1">
      <alignment horizontal="center" vertical="center"/>
      <protection locked="0"/>
    </xf>
    <xf numFmtId="11" fontId="1" fillId="18" borderId="31" xfId="1" applyNumberFormat="1" applyFont="1" applyFill="1" applyBorder="1" applyAlignment="1" applyProtection="1">
      <alignment horizontal="center" vertical="center"/>
      <protection locked="0"/>
    </xf>
    <xf numFmtId="11" fontId="1" fillId="18" borderId="12" xfId="1" applyNumberFormat="1" applyFont="1" applyFill="1" applyBorder="1" applyAlignment="1" applyProtection="1">
      <alignment horizontal="center" vertical="center"/>
      <protection locked="0"/>
    </xf>
    <xf numFmtId="0" fontId="14" fillId="6" borderId="26" xfId="1" applyFont="1" applyFill="1" applyBorder="1" applyAlignment="1" applyProtection="1">
      <alignment horizontal="center" vertical="center" wrapText="1"/>
    </xf>
    <xf numFmtId="0" fontId="14" fillId="6" borderId="11" xfId="1" applyFont="1" applyFill="1" applyBorder="1" applyAlignment="1" applyProtection="1">
      <alignment horizontal="center" vertical="center" wrapText="1"/>
    </xf>
    <xf numFmtId="0" fontId="14" fillId="6" borderId="36" xfId="1" applyFont="1" applyFill="1" applyBorder="1" applyAlignment="1" applyProtection="1">
      <alignment horizontal="center" vertical="center" wrapText="1"/>
    </xf>
    <xf numFmtId="0" fontId="10" fillId="7" borderId="131" xfId="1" applyFont="1" applyFill="1" applyBorder="1" applyAlignment="1" applyProtection="1">
      <alignment horizontal="center" vertical="center" textRotation="90"/>
    </xf>
    <xf numFmtId="0" fontId="10" fillId="7" borderId="0" xfId="1" applyFont="1" applyFill="1" applyBorder="1" applyAlignment="1" applyProtection="1">
      <alignment horizontal="center" vertical="center" textRotation="90"/>
    </xf>
    <xf numFmtId="0" fontId="8" fillId="21" borderId="116" xfId="1" applyFont="1" applyFill="1" applyBorder="1" applyAlignment="1" applyProtection="1">
      <alignment horizontal="center" vertical="center" wrapText="1"/>
    </xf>
    <xf numFmtId="0" fontId="8" fillId="21" borderId="117" xfId="1" applyFont="1" applyFill="1" applyBorder="1" applyAlignment="1" applyProtection="1">
      <alignment horizontal="center" vertical="center" wrapText="1"/>
    </xf>
    <xf numFmtId="0" fontId="8" fillId="21" borderId="118" xfId="1" applyFont="1" applyFill="1" applyBorder="1" applyAlignment="1" applyProtection="1">
      <alignment horizontal="center" vertical="center" wrapText="1"/>
    </xf>
    <xf numFmtId="0" fontId="1" fillId="11" borderId="46" xfId="1" applyFont="1" applyFill="1" applyBorder="1" applyAlignment="1" applyProtection="1">
      <alignment horizontal="left" vertical="center"/>
    </xf>
    <xf numFmtId="0" fontId="20" fillId="11" borderId="60" xfId="0" applyFont="1" applyFill="1" applyBorder="1" applyAlignment="1" applyProtection="1">
      <alignment horizontal="left" vertical="center"/>
    </xf>
    <xf numFmtId="0" fontId="17" fillId="18" borderId="68" xfId="0" applyFont="1" applyFill="1" applyBorder="1" applyAlignment="1" applyProtection="1">
      <alignment horizontal="left" vertical="center" wrapText="1"/>
      <protection locked="0"/>
    </xf>
    <xf numFmtId="0" fontId="17" fillId="18" borderId="88" xfId="0" applyFont="1" applyFill="1" applyBorder="1" applyAlignment="1" applyProtection="1">
      <alignment horizontal="left" vertical="center" wrapText="1"/>
      <protection locked="0"/>
    </xf>
    <xf numFmtId="0" fontId="22" fillId="18" borderId="75" xfId="1" applyNumberFormat="1" applyFont="1" applyFill="1" applyBorder="1" applyAlignment="1" applyProtection="1">
      <alignment horizontal="left" vertical="center" wrapText="1"/>
      <protection locked="0"/>
    </xf>
    <xf numFmtId="0" fontId="22" fillId="18" borderId="89" xfId="1" applyNumberFormat="1" applyFont="1" applyFill="1" applyBorder="1" applyAlignment="1" applyProtection="1">
      <alignment horizontal="left" vertical="center" wrapText="1"/>
      <protection locked="0"/>
    </xf>
    <xf numFmtId="0" fontId="13" fillId="2" borderId="67" xfId="1" applyFont="1" applyFill="1" applyBorder="1" applyAlignment="1" applyProtection="1">
      <alignment horizontal="left" vertical="center"/>
    </xf>
    <xf numFmtId="0" fontId="13" fillId="2" borderId="68" xfId="1" applyFont="1" applyFill="1" applyBorder="1" applyAlignment="1" applyProtection="1">
      <alignment horizontal="left" vertical="center"/>
    </xf>
    <xf numFmtId="0" fontId="1" fillId="0" borderId="67" xfId="1" applyFont="1" applyFill="1" applyBorder="1" applyAlignment="1" applyProtection="1">
      <alignment horizontal="left" vertical="center"/>
    </xf>
    <xf numFmtId="0" fontId="0" fillId="0" borderId="68" xfId="0" applyFill="1" applyBorder="1" applyAlignment="1" applyProtection="1">
      <alignment horizontal="left" vertical="center"/>
    </xf>
    <xf numFmtId="0" fontId="0" fillId="0" borderId="68" xfId="0" applyFill="1" applyBorder="1" applyAlignment="1" applyProtection="1">
      <alignment vertical="center"/>
    </xf>
    <xf numFmtId="0" fontId="13" fillId="0" borderId="37" xfId="1" applyFont="1" applyFill="1" applyBorder="1" applyAlignment="1" applyProtection="1">
      <alignment horizontal="center" vertical="center" wrapText="1"/>
    </xf>
    <xf numFmtId="0" fontId="13" fillId="0" borderId="39" xfId="1" applyFont="1" applyFill="1" applyBorder="1" applyAlignment="1" applyProtection="1">
      <alignment horizontal="center" vertical="center" wrapText="1"/>
    </xf>
    <xf numFmtId="0" fontId="13" fillId="8" borderId="27" xfId="1" applyFont="1" applyFill="1" applyBorder="1" applyAlignment="1" applyProtection="1">
      <alignment horizontal="center" vertical="center"/>
    </xf>
    <xf numFmtId="0" fontId="0" fillId="8" borderId="52" xfId="0" applyFill="1" applyBorder="1" applyAlignment="1" applyProtection="1">
      <alignment horizontal="center" vertical="center"/>
    </xf>
    <xf numFmtId="0" fontId="0" fillId="8" borderId="54" xfId="0" applyFill="1" applyBorder="1" applyAlignment="1" applyProtection="1">
      <alignment horizontal="center" vertical="center"/>
    </xf>
    <xf numFmtId="0" fontId="1" fillId="8" borderId="92" xfId="1" applyFont="1" applyFill="1" applyBorder="1" applyAlignment="1" applyProtection="1">
      <alignment horizontal="left" vertical="center" wrapText="1"/>
    </xf>
    <xf numFmtId="0" fontId="20" fillId="8" borderId="93" xfId="0" applyFont="1" applyFill="1" applyBorder="1" applyAlignment="1" applyProtection="1">
      <alignment horizontal="left" vertical="center"/>
    </xf>
    <xf numFmtId="0" fontId="1" fillId="12" borderId="139" xfId="1" applyFont="1" applyFill="1" applyBorder="1" applyAlignment="1" applyProtection="1">
      <alignment horizontal="center" vertical="center" wrapText="1"/>
    </xf>
    <xf numFmtId="0" fontId="1" fillId="12" borderId="142" xfId="1" applyFont="1" applyFill="1" applyBorder="1" applyAlignment="1" applyProtection="1">
      <alignment horizontal="center" vertical="center" wrapText="1"/>
    </xf>
    <xf numFmtId="0" fontId="1" fillId="12" borderId="63" xfId="1" applyFont="1" applyFill="1" applyBorder="1" applyAlignment="1" applyProtection="1">
      <alignment horizontal="center" vertical="center" wrapText="1"/>
    </xf>
    <xf numFmtId="0" fontId="1" fillId="12" borderId="64" xfId="1" applyFont="1" applyFill="1" applyBorder="1" applyAlignment="1" applyProtection="1">
      <alignment horizontal="center" vertical="center" wrapText="1"/>
    </xf>
    <xf numFmtId="0" fontId="1" fillId="11" borderId="53" xfId="1" applyFont="1" applyFill="1" applyBorder="1" applyAlignment="1" applyProtection="1">
      <alignment horizontal="left" vertical="center" wrapText="1"/>
    </xf>
    <xf numFmtId="0" fontId="13" fillId="11" borderId="47" xfId="1" applyFont="1" applyFill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59" xfId="0" applyFill="1" applyBorder="1" applyAlignment="1" applyProtection="1">
      <alignment horizontal="center" vertical="center"/>
    </xf>
    <xf numFmtId="0" fontId="16" fillId="10" borderId="53" xfId="1" applyFont="1" applyFill="1" applyBorder="1" applyAlignment="1" applyProtection="1">
      <alignment horizontal="left" vertical="center"/>
    </xf>
    <xf numFmtId="0" fontId="21" fillId="10" borderId="58" xfId="0" applyFont="1" applyFill="1" applyBorder="1" applyAlignment="1" applyProtection="1">
      <alignment horizontal="left" vertical="center"/>
    </xf>
    <xf numFmtId="2" fontId="13" fillId="10" borderId="90" xfId="1" applyNumberFormat="1" applyFont="1" applyFill="1" applyBorder="1" applyAlignment="1" applyProtection="1">
      <alignment horizontal="right" vertical="center" wrapText="1"/>
    </xf>
    <xf numFmtId="0" fontId="0" fillId="10" borderId="71" xfId="0" applyFill="1" applyBorder="1" applyAlignment="1" applyProtection="1">
      <alignment horizontal="right" vertical="center" wrapText="1"/>
    </xf>
    <xf numFmtId="0" fontId="0" fillId="10" borderId="166" xfId="0" applyFill="1" applyBorder="1" applyAlignment="1" applyProtection="1">
      <alignment horizontal="right" vertical="center" wrapText="1"/>
    </xf>
    <xf numFmtId="0" fontId="1" fillId="0" borderId="68" xfId="1" applyFont="1" applyFill="1" applyBorder="1" applyAlignment="1" applyProtection="1">
      <alignment horizontal="left" vertical="center"/>
    </xf>
    <xf numFmtId="0" fontId="23" fillId="13" borderId="83" xfId="1" applyFont="1" applyFill="1" applyBorder="1" applyAlignment="1" applyProtection="1">
      <alignment horizontal="left" vertical="center"/>
    </xf>
    <xf numFmtId="0" fontId="23" fillId="13" borderId="84" xfId="1" applyFont="1" applyFill="1" applyBorder="1" applyAlignment="1" applyProtection="1">
      <alignment horizontal="left" vertical="center"/>
    </xf>
    <xf numFmtId="0" fontId="23" fillId="13" borderId="85" xfId="1" applyFont="1" applyFill="1" applyBorder="1" applyAlignment="1" applyProtection="1">
      <alignment horizontal="left" vertical="center"/>
    </xf>
    <xf numFmtId="0" fontId="13" fillId="0" borderId="143" xfId="1" applyFont="1" applyFill="1" applyBorder="1" applyAlignment="1" applyProtection="1">
      <alignment horizontal="right" vertical="center"/>
    </xf>
    <xf numFmtId="0" fontId="0" fillId="0" borderId="144" xfId="0" applyBorder="1" applyAlignment="1" applyProtection="1">
      <alignment horizontal="right" vertical="center"/>
    </xf>
    <xf numFmtId="0" fontId="13" fillId="0" borderId="146" xfId="1" applyFont="1" applyFill="1" applyBorder="1" applyAlignment="1" applyProtection="1">
      <alignment horizontal="left" vertical="center"/>
    </xf>
    <xf numFmtId="0" fontId="0" fillId="0" borderId="144" xfId="0" applyFill="1" applyBorder="1" applyAlignment="1" applyProtection="1">
      <alignment horizontal="left" vertical="center"/>
    </xf>
    <xf numFmtId="0" fontId="0" fillId="0" borderId="144" xfId="0" applyFill="1" applyBorder="1" applyAlignment="1" applyProtection="1">
      <alignment vertical="center"/>
    </xf>
    <xf numFmtId="0" fontId="24" fillId="17" borderId="147" xfId="0" applyFont="1" applyFill="1" applyBorder="1" applyAlignment="1" applyProtection="1">
      <alignment horizontal="left" vertical="center"/>
    </xf>
    <xf numFmtId="0" fontId="24" fillId="17" borderId="148" xfId="0" applyFont="1" applyFill="1" applyBorder="1" applyAlignment="1" applyProtection="1">
      <alignment horizontal="left" vertical="center"/>
    </xf>
    <xf numFmtId="0" fontId="24" fillId="17" borderId="149" xfId="0" applyFont="1" applyFill="1" applyBorder="1" applyAlignment="1" applyProtection="1">
      <alignment horizontal="left" vertical="center"/>
    </xf>
    <xf numFmtId="0" fontId="13" fillId="0" borderId="86" xfId="1" applyFont="1" applyFill="1" applyBorder="1" applyAlignment="1" applyProtection="1">
      <alignment horizontal="right" vertical="center"/>
    </xf>
    <xf numFmtId="0" fontId="0" fillId="0" borderId="68" xfId="0" applyBorder="1" applyAlignment="1" applyProtection="1">
      <alignment horizontal="right" vertical="center"/>
    </xf>
    <xf numFmtId="0" fontId="13" fillId="0" borderId="70" xfId="1" applyFont="1" applyFill="1" applyBorder="1" applyAlignment="1" applyProtection="1">
      <alignment horizontal="left" vertical="center"/>
    </xf>
    <xf numFmtId="0" fontId="13" fillId="0" borderId="71" xfId="1" applyFont="1" applyFill="1" applyBorder="1" applyAlignment="1" applyProtection="1">
      <alignment horizontal="left" vertical="center"/>
    </xf>
    <xf numFmtId="0" fontId="13" fillId="0" borderId="87" xfId="1" applyFont="1" applyFill="1" applyBorder="1" applyAlignment="1" applyProtection="1">
      <alignment horizontal="left" vertical="center"/>
    </xf>
    <xf numFmtId="0" fontId="13" fillId="0" borderId="70" xfId="1" applyFont="1" applyFill="1" applyBorder="1" applyAlignment="1" applyProtection="1">
      <alignment horizontal="center" vertical="center"/>
    </xf>
    <xf numFmtId="0" fontId="13" fillId="0" borderId="71" xfId="1" applyFont="1" applyFill="1" applyBorder="1" applyAlignment="1" applyProtection="1">
      <alignment horizontal="center" vertical="center"/>
    </xf>
    <xf numFmtId="0" fontId="13" fillId="0" borderId="87" xfId="1" applyFont="1" applyFill="1" applyBorder="1" applyAlignment="1" applyProtection="1">
      <alignment horizontal="center" vertical="center"/>
    </xf>
    <xf numFmtId="0" fontId="13" fillId="0" borderId="109" xfId="1" applyFont="1" applyFill="1" applyBorder="1" applyAlignment="1" applyProtection="1">
      <alignment horizontal="center" vertical="center"/>
    </xf>
    <xf numFmtId="0" fontId="13" fillId="0" borderId="106" xfId="1" applyFont="1" applyFill="1" applyBorder="1" applyAlignment="1" applyProtection="1">
      <alignment horizontal="center" vertical="center"/>
    </xf>
    <xf numFmtId="0" fontId="13" fillId="0" borderId="110" xfId="1" applyFont="1" applyFill="1" applyBorder="1" applyAlignment="1" applyProtection="1">
      <alignment horizontal="center" vertical="center"/>
    </xf>
    <xf numFmtId="0" fontId="13" fillId="2" borderId="178" xfId="1" applyFont="1" applyFill="1" applyBorder="1" applyAlignment="1" applyProtection="1">
      <alignment horizontal="center" vertical="center" wrapText="1"/>
    </xf>
    <xf numFmtId="0" fontId="13" fillId="2" borderId="179" xfId="1" applyFont="1" applyFill="1" applyBorder="1" applyAlignment="1" applyProtection="1">
      <alignment horizontal="center" vertical="center" wrapText="1"/>
    </xf>
    <xf numFmtId="0" fontId="13" fillId="2" borderId="180" xfId="1" applyFont="1" applyFill="1" applyBorder="1" applyAlignment="1" applyProtection="1">
      <alignment horizontal="center" vertical="center" wrapText="1"/>
    </xf>
    <xf numFmtId="0" fontId="13" fillId="2" borderId="88" xfId="1" applyFont="1" applyFill="1" applyBorder="1" applyAlignment="1" applyProtection="1">
      <alignment horizontal="left" vertical="center"/>
    </xf>
    <xf numFmtId="0" fontId="13" fillId="2" borderId="120" xfId="1" applyFont="1" applyFill="1" applyBorder="1" applyAlignment="1" applyProtection="1">
      <alignment horizontal="right" vertical="center"/>
    </xf>
    <xf numFmtId="0" fontId="13" fillId="2" borderId="33" xfId="1" applyFont="1" applyFill="1" applyBorder="1" applyAlignment="1" applyProtection="1">
      <alignment horizontal="right" vertical="center"/>
    </xf>
    <xf numFmtId="0" fontId="13" fillId="0" borderId="167" xfId="1" applyFont="1" applyFill="1" applyBorder="1" applyAlignment="1" applyProtection="1">
      <alignment horizontal="right" vertical="center" wrapText="1"/>
    </xf>
    <xf numFmtId="0" fontId="13" fillId="0" borderId="168" xfId="1" applyFont="1" applyFill="1" applyBorder="1" applyAlignment="1" applyProtection="1">
      <alignment horizontal="right" vertical="center" wrapText="1"/>
    </xf>
    <xf numFmtId="0" fontId="13" fillId="0" borderId="169" xfId="1" applyFont="1" applyFill="1" applyBorder="1" applyAlignment="1" applyProtection="1">
      <alignment horizontal="right" vertical="center" wrapText="1"/>
    </xf>
    <xf numFmtId="0" fontId="13" fillId="2" borderId="119" xfId="1" applyFont="1" applyFill="1" applyBorder="1" applyAlignment="1" applyProtection="1">
      <alignment horizontal="right" vertical="center"/>
    </xf>
    <xf numFmtId="0" fontId="13" fillId="2" borderId="40" xfId="1" applyFont="1" applyFill="1" applyBorder="1" applyAlignment="1" applyProtection="1">
      <alignment horizontal="right" vertical="center"/>
    </xf>
    <xf numFmtId="0" fontId="1" fillId="23" borderId="112" xfId="1" applyFont="1" applyFill="1" applyBorder="1" applyAlignment="1" applyProtection="1">
      <alignment horizontal="right" vertical="center" wrapText="1"/>
    </xf>
    <xf numFmtId="0" fontId="1" fillId="23" borderId="113" xfId="1" applyFont="1" applyFill="1" applyBorder="1" applyAlignment="1" applyProtection="1">
      <alignment horizontal="right" vertical="center" wrapText="1"/>
    </xf>
    <xf numFmtId="0" fontId="1" fillId="23" borderId="114" xfId="1" applyFont="1" applyFill="1" applyBorder="1" applyAlignment="1" applyProtection="1">
      <alignment horizontal="right" vertical="center" wrapText="1"/>
    </xf>
    <xf numFmtId="0" fontId="1" fillId="19" borderId="112" xfId="1" applyFont="1" applyFill="1" applyBorder="1" applyAlignment="1" applyProtection="1">
      <alignment horizontal="right" vertical="center" wrapText="1"/>
    </xf>
    <xf numFmtId="0" fontId="1" fillId="19" borderId="113" xfId="1" applyFont="1" applyFill="1" applyBorder="1" applyAlignment="1" applyProtection="1">
      <alignment horizontal="right" vertical="center" wrapText="1"/>
    </xf>
    <xf numFmtId="0" fontId="1" fillId="19" borderId="114" xfId="1" applyFont="1" applyFill="1" applyBorder="1" applyAlignment="1" applyProtection="1">
      <alignment horizontal="right" vertical="center" wrapText="1"/>
    </xf>
    <xf numFmtId="0" fontId="13" fillId="0" borderId="105" xfId="1" applyFont="1" applyFill="1" applyBorder="1" applyAlignment="1" applyProtection="1">
      <alignment horizontal="right" vertical="center"/>
    </xf>
    <xf numFmtId="0" fontId="13" fillId="0" borderId="106" xfId="1" applyFont="1" applyFill="1" applyBorder="1" applyAlignment="1" applyProtection="1">
      <alignment horizontal="right" vertical="center"/>
    </xf>
    <xf numFmtId="0" fontId="13" fillId="0" borderId="107" xfId="1" applyFont="1" applyFill="1" applyBorder="1" applyAlignment="1" applyProtection="1">
      <alignment horizontal="right" vertical="center"/>
    </xf>
    <xf numFmtId="0" fontId="13" fillId="0" borderId="90" xfId="1" applyFont="1" applyFill="1" applyBorder="1" applyAlignment="1" applyProtection="1">
      <alignment horizontal="right" vertical="center" wrapText="1"/>
    </xf>
    <xf numFmtId="0" fontId="13" fillId="0" borderId="71" xfId="1" applyFont="1" applyFill="1" applyBorder="1" applyAlignment="1" applyProtection="1">
      <alignment horizontal="right" vertical="center" wrapText="1"/>
    </xf>
    <xf numFmtId="0" fontId="13" fillId="0" borderId="76" xfId="1" applyFont="1" applyFill="1" applyBorder="1" applyAlignment="1" applyProtection="1">
      <alignment horizontal="right" vertical="center" wrapText="1"/>
    </xf>
    <xf numFmtId="0" fontId="13" fillId="0" borderId="163" xfId="1" applyFont="1" applyFill="1" applyBorder="1" applyAlignment="1" applyProtection="1">
      <alignment horizontal="right" vertical="center" wrapText="1"/>
    </xf>
    <xf numFmtId="0" fontId="13" fillId="0" borderId="164" xfId="1" applyFont="1" applyFill="1" applyBorder="1" applyAlignment="1" applyProtection="1">
      <alignment horizontal="right" vertical="center" wrapText="1"/>
    </xf>
    <xf numFmtId="0" fontId="13" fillId="0" borderId="165" xfId="1" applyFont="1" applyFill="1" applyBorder="1" applyAlignment="1" applyProtection="1">
      <alignment horizontal="right" vertical="center" wrapText="1"/>
    </xf>
    <xf numFmtId="0" fontId="3" fillId="3" borderId="3" xfId="1" applyFont="1" applyFill="1" applyBorder="1" applyAlignment="1" applyProtection="1">
      <alignment horizontal="left" vertical="center"/>
    </xf>
    <xf numFmtId="0" fontId="5" fillId="4" borderId="5" xfId="1" applyFont="1" applyFill="1" applyBorder="1" applyAlignment="1" applyProtection="1">
      <alignment horizontal="left" vertical="center"/>
    </xf>
    <xf numFmtId="0" fontId="5" fillId="4" borderId="6" xfId="1" applyFont="1" applyFill="1" applyBorder="1" applyAlignment="1" applyProtection="1">
      <alignment horizontal="left" vertical="center"/>
    </xf>
    <xf numFmtId="0" fontId="5" fillId="4" borderId="7" xfId="1" applyFont="1" applyFill="1" applyBorder="1" applyAlignment="1" applyProtection="1">
      <alignment horizontal="left" vertical="center"/>
    </xf>
    <xf numFmtId="0" fontId="5" fillId="4" borderId="12" xfId="1" applyFont="1" applyFill="1" applyBorder="1" applyAlignment="1" applyProtection="1">
      <alignment horizontal="left" vertical="center"/>
    </xf>
    <xf numFmtId="0" fontId="5" fillId="4" borderId="1" xfId="1" applyFont="1" applyFill="1" applyBorder="1" applyAlignment="1" applyProtection="1">
      <alignment horizontal="left" vertical="center"/>
    </xf>
    <xf numFmtId="0" fontId="5" fillId="4" borderId="13" xfId="1" applyFont="1" applyFill="1" applyBorder="1" applyAlignment="1" applyProtection="1">
      <alignment horizontal="left" vertical="center"/>
    </xf>
    <xf numFmtId="0" fontId="8" fillId="2" borderId="19" xfId="1" applyFont="1" applyFill="1" applyBorder="1" applyAlignment="1" applyProtection="1">
      <alignment horizontal="right" vertical="center"/>
    </xf>
    <xf numFmtId="0" fontId="10" fillId="5" borderId="140" xfId="1" applyFont="1" applyFill="1" applyBorder="1" applyAlignment="1" applyProtection="1">
      <alignment horizontal="center" vertical="center" textRotation="90"/>
    </xf>
    <xf numFmtId="0" fontId="10" fillId="5" borderId="21" xfId="1" applyFont="1" applyFill="1" applyBorder="1" applyAlignment="1" applyProtection="1">
      <alignment horizontal="center" vertical="center" textRotation="90"/>
    </xf>
    <xf numFmtId="0" fontId="14" fillId="0" borderId="24" xfId="1" applyFont="1" applyFill="1" applyBorder="1" applyAlignment="1" applyProtection="1">
      <alignment vertical="center"/>
    </xf>
    <xf numFmtId="0" fontId="14" fillId="0" borderId="29" xfId="1" applyFont="1" applyFill="1" applyBorder="1" applyAlignment="1" applyProtection="1">
      <alignment vertical="center"/>
    </xf>
    <xf numFmtId="0" fontId="14" fillId="0" borderId="34" xfId="1" applyFont="1" applyFill="1" applyBorder="1" applyAlignment="1" applyProtection="1">
      <alignment vertical="center"/>
    </xf>
    <xf numFmtId="0" fontId="14" fillId="0" borderId="25" xfId="1" applyFont="1" applyFill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11" fontId="14" fillId="2" borderId="11" xfId="1" applyNumberFormat="1" applyFont="1" applyFill="1" applyBorder="1" applyAlignment="1" applyProtection="1">
      <alignment horizontal="center" vertical="center"/>
    </xf>
    <xf numFmtId="11" fontId="14" fillId="2" borderId="36" xfId="1" applyNumberFormat="1" applyFont="1" applyFill="1" applyBorder="1" applyAlignment="1" applyProtection="1">
      <alignment horizontal="center"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3" fillId="2" borderId="122" xfId="1" applyFont="1" applyFill="1" applyBorder="1" applyAlignment="1" applyProtection="1">
      <alignment horizontal="center" vertical="center"/>
    </xf>
    <xf numFmtId="0" fontId="13" fillId="2" borderId="77" xfId="1" applyFont="1" applyFill="1" applyBorder="1" applyAlignment="1" applyProtection="1">
      <alignment horizontal="center" vertical="center"/>
    </xf>
    <xf numFmtId="0" fontId="13" fillId="2" borderId="60" xfId="1" applyFont="1" applyFill="1" applyBorder="1" applyAlignment="1" applyProtection="1">
      <alignment horizontal="center" vertical="center"/>
    </xf>
    <xf numFmtId="0" fontId="13" fillId="2" borderId="123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3" xfId="1" applyFont="1" applyFill="1" applyBorder="1" applyAlignment="1" applyProtection="1">
      <alignment horizontal="center" vertical="center"/>
    </xf>
    <xf numFmtId="0" fontId="13" fillId="0" borderId="159" xfId="1" applyFont="1" applyFill="1" applyBorder="1" applyAlignment="1" applyProtection="1">
      <alignment horizontal="center" vertical="center"/>
    </xf>
    <xf numFmtId="0" fontId="1" fillId="2" borderId="74" xfId="1" applyFont="1" applyFill="1" applyBorder="1" applyAlignment="1" applyProtection="1">
      <alignment horizontal="left" vertical="center"/>
    </xf>
    <xf numFmtId="0" fontId="1" fillId="2" borderId="75" xfId="1" applyFont="1" applyFill="1" applyBorder="1" applyAlignment="1" applyProtection="1">
      <alignment horizontal="left" vertical="center"/>
    </xf>
    <xf numFmtId="0" fontId="13" fillId="0" borderId="184" xfId="1" applyFont="1" applyFill="1" applyBorder="1" applyAlignment="1" applyProtection="1">
      <alignment horizontal="right" vertical="center" wrapText="1"/>
    </xf>
    <xf numFmtId="0" fontId="13" fillId="0" borderId="185" xfId="1" applyFont="1" applyFill="1" applyBorder="1" applyAlignment="1" applyProtection="1">
      <alignment horizontal="right" vertical="center" wrapText="1"/>
    </xf>
    <xf numFmtId="0" fontId="13" fillId="0" borderId="186" xfId="1" applyFont="1" applyFill="1" applyBorder="1" applyAlignment="1" applyProtection="1">
      <alignment horizontal="right" vertical="center" wrapText="1"/>
    </xf>
    <xf numFmtId="0" fontId="40" fillId="0" borderId="0" xfId="0" applyFont="1"/>
  </cellXfs>
  <cellStyles count="2">
    <cellStyle name="Excel Built-in Normal" xfId="1" xr:uid="{00000000-0005-0000-0000-000000000000}"/>
    <cellStyle name="Standard" xfId="0" builtinId="0"/>
  </cellStyles>
  <dxfs count="150"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rgb="FFFFFF00"/>
        </patternFill>
      </fill>
    </dxf>
    <dxf>
      <fill>
        <patternFill patternType="solid">
          <fgColor theme="1"/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u/>
        <color theme="0"/>
      </font>
      <fill>
        <patternFill patternType="none">
          <fgColor indexed="64"/>
          <bgColor auto="1"/>
        </patternFill>
      </fill>
    </dxf>
    <dxf>
      <font>
        <u/>
        <color theme="0"/>
      </font>
      <fill>
        <patternFill patternType="none">
          <fgColor indexed="64"/>
          <bgColor auto="1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L147"/>
  <sheetViews>
    <sheetView tabSelected="1" zoomScaleNormal="100" workbookViewId="0">
      <selection activeCell="G46" sqref="G46:G48"/>
    </sheetView>
  </sheetViews>
  <sheetFormatPr baseColWidth="10" defaultColWidth="11.5" defaultRowHeight="15" outlineLevelRow="1" x14ac:dyDescent="0.2"/>
  <cols>
    <col min="1" max="1" width="1.5" style="69" customWidth="1"/>
    <col min="2" max="2" width="6.5" style="69" bestFit="1" customWidth="1"/>
    <col min="3" max="3" width="36.33203125" style="69" customWidth="1"/>
    <col min="4" max="4" width="7.33203125" style="69" customWidth="1"/>
    <col min="5" max="5" width="8" style="69" customWidth="1"/>
    <col min="6" max="6" width="31.83203125" style="69" customWidth="1"/>
    <col min="7" max="7" width="17.5" style="69" customWidth="1"/>
    <col min="8" max="8" width="18.1640625" style="69" customWidth="1"/>
    <col min="9" max="9" width="17.6640625" style="69" customWidth="1"/>
    <col min="10" max="10" width="19.83203125" style="69" customWidth="1"/>
    <col min="11" max="11" width="17.5" style="69" bestFit="1" customWidth="1"/>
    <col min="12" max="12" width="17.33203125" style="69" customWidth="1"/>
    <col min="13" max="14" width="18.1640625" style="69" customWidth="1"/>
    <col min="15" max="15" width="23.1640625" style="69" customWidth="1"/>
    <col min="16" max="16" width="19.33203125" style="69" customWidth="1"/>
    <col min="17" max="17" width="20.6640625" style="69" customWidth="1"/>
    <col min="18" max="16384" width="11.5" style="69"/>
  </cols>
  <sheetData>
    <row r="1" spans="1:17" ht="16" thickBot="1" x14ac:dyDescent="0.25"/>
    <row r="2" spans="1:17" ht="22.5" customHeight="1" thickBot="1" x14ac:dyDescent="0.25">
      <c r="B2" s="338" t="s">
        <v>161</v>
      </c>
      <c r="C2" s="339"/>
      <c r="D2" s="340"/>
      <c r="E2" s="341">
        <f>IFERROR(E3+E4,"")</f>
        <v>100</v>
      </c>
      <c r="F2" s="342"/>
      <c r="M2" s="239"/>
      <c r="O2" s="69" t="str">
        <f>IF(O5="MIX","Anzahl Nutzungen:","")</f>
        <v/>
      </c>
    </row>
    <row r="3" spans="1:17" ht="50.25" customHeight="1" thickBot="1" x14ac:dyDescent="0.25">
      <c r="B3" s="338" t="s">
        <v>159</v>
      </c>
      <c r="C3" s="339"/>
      <c r="D3" s="340"/>
      <c r="E3" s="341">
        <f>IFERROR(VLOOKUP(Q3,GesamtCLP!A2:L102,2,FALSE)*G7+VLOOKUP(Q3,GesamtCLP!A2:L102,3,FALSE)*H7+VLOOKUP(Q3,GesamtCLP!A2:L102,4,FALSE)*I7+VLOOKUP(Q3,GesamtCLP!A2:L102,5,FALSE)*J7+VLOOKUP(Q3,GesamtCLP!A2:L102,6,FALSE)*K7,"")</f>
        <v>70</v>
      </c>
      <c r="F3" s="342"/>
      <c r="G3" s="248" t="str">
        <f>IFERROR(IF(FIND("MIX",O5),G5),"")</f>
        <v/>
      </c>
      <c r="H3" s="249" t="str">
        <f>IFERROR(IF(FIND("MIX",O5),H5/(N5+L5+J5+H5)),"")</f>
        <v/>
      </c>
      <c r="I3" s="248" t="str">
        <f>IFERROR(IF(FIND("MIX",O5),I5),"")</f>
        <v/>
      </c>
      <c r="J3" s="249" t="str">
        <f>IFERROR(IF(FIND("MIX",O5),J5/(N5+L5+J5+H5)),"")</f>
        <v/>
      </c>
      <c r="K3" s="248" t="str">
        <f>IFERROR(IF(FIND("MIX",O5),K5),"")</f>
        <v/>
      </c>
      <c r="L3" s="249" t="str">
        <f>IFERROR(IF(FIND("MIX",O5),L5/(N5+L5+J5+H5)),"")</f>
        <v/>
      </c>
      <c r="M3" s="248" t="str">
        <f>IFERROR(IF(FIND("MIX",O5),M5),"")</f>
        <v/>
      </c>
      <c r="N3" s="249" t="str">
        <f>IFERROR(IF(FIND("MIX",O5),N5/(N5+L5+J5+H5)),"")</f>
        <v/>
      </c>
      <c r="P3" s="238"/>
      <c r="Q3" s="273" t="str">
        <f>IF(AND(ISNUMBER(FIND("MIX",$O$5)),OR(COUNT(FIND("NVS18",M5)),COUNT(FIND("NVS18",K5)),COUNT(FIND("NVS18",I5)),COUNT(FIND("NVS18",G5)))),"MIX18_NVS",$O$5)</f>
        <v>NBV18</v>
      </c>
    </row>
    <row r="4" spans="1:17" ht="68.25" customHeight="1" thickBot="1" x14ac:dyDescent="0.25">
      <c r="A4" s="68"/>
      <c r="B4" s="347" t="s">
        <v>160</v>
      </c>
      <c r="C4" s="348"/>
      <c r="D4" s="349"/>
      <c r="E4" s="341">
        <f>IFERROR(VLOOKUP(Q3,GesamtCLP!A2:L102,7,FALSE)*L7+VLOOKUP(Q3,GesamtCLP!A2:L102,8,FALSE)*M7+VLOOKUP(Q3,GesamtCLP!A2:L102,9,FALSE)*Q7,"")</f>
        <v>30</v>
      </c>
      <c r="F4" s="342"/>
      <c r="G4" s="246" t="str">
        <f>IFERROR(IF(FIND("MIX",$O$5),"3. Nebennutzung"),"")</f>
        <v/>
      </c>
      <c r="H4" s="244" t="str">
        <f>IFERROR(IF(FIND("MIX",$O$5),"Ökobilanz Bezugsgröße der 3. Nebennutzung"),"")</f>
        <v/>
      </c>
      <c r="I4" s="245" t="str">
        <f>IFERROR(IF(FIND("MIX",$O$5),"2. Nebennutzung"),"")</f>
        <v/>
      </c>
      <c r="J4" s="244" t="str">
        <f>IFERROR(IF(FIND("MIX",$O$5),"Ökobilanz Bezugsgröße der 2. Nebennutzung"),"")</f>
        <v/>
      </c>
      <c r="K4" s="245" t="str">
        <f>IFERROR(IF(FIND("MIX",$O$5),"1. Nebennutzung"),"")</f>
        <v/>
      </c>
      <c r="L4" s="244" t="str">
        <f>IFERROR(IF(FIND("MIX",$O$5),"Ökobilanz Bezugsgröße der 1. Nebennutzung"),"")</f>
        <v/>
      </c>
      <c r="M4" s="245" t="str">
        <f>IFERROR(IF(FIND("MIX",$O$5),"Hauptnutzung"),"")</f>
        <v/>
      </c>
      <c r="N4" s="244" t="str">
        <f>IFERROR(IF(FIND("MIX",$O$5),"Ökobilanz Bezugsgröße der Hauptnutzung"),"")</f>
        <v/>
      </c>
      <c r="O4" s="243" t="str">
        <f>IFERROR(IF(FIND("MIX",$O$5),"Zahl des Nutzungsprofil:"),"")</f>
        <v/>
      </c>
      <c r="P4" s="240" t="str">
        <f>IFERROR(IF(FIND("MIX",O5),IF(G3&lt;&gt;0,4,IF(I3&lt;&gt;0,3,IF(K3&lt;&gt;0,2,IF(M3&lt;&gt;0,1,0))))),"")</f>
        <v/>
      </c>
    </row>
    <row r="5" spans="1:17" ht="27" thickBot="1" x14ac:dyDescent="0.25">
      <c r="A5" s="68"/>
      <c r="B5" s="339"/>
      <c r="C5" s="339"/>
      <c r="D5" s="339"/>
      <c r="F5" s="233"/>
      <c r="G5" s="247"/>
      <c r="H5" s="246"/>
      <c r="I5" s="247"/>
      <c r="J5" s="246"/>
      <c r="K5" s="247"/>
      <c r="L5" s="246"/>
      <c r="M5" s="247"/>
      <c r="N5" s="246"/>
      <c r="O5" s="350" t="s">
        <v>94</v>
      </c>
      <c r="P5" s="351"/>
    </row>
    <row r="6" spans="1:17" ht="20" thickBot="1" x14ac:dyDescent="0.25">
      <c r="A6" s="68"/>
      <c r="B6" s="343" t="str">
        <f>IF(O5="CORE14","LCA Results","LCA Ergebnisse")</f>
        <v>LCA Ergebnisse</v>
      </c>
      <c r="C6" s="344"/>
      <c r="D6" s="344"/>
      <c r="E6" s="344"/>
      <c r="F6" s="344"/>
      <c r="G6" s="454"/>
      <c r="H6" s="454"/>
      <c r="I6" s="236"/>
      <c r="J6" s="236"/>
      <c r="K6" s="236"/>
      <c r="L6" s="237"/>
      <c r="M6" s="352" t="str">
        <f>IF(O5="CORE14","Reference period:","Betrachtungszeitraum:")</f>
        <v>Betrachtungszeitraum:</v>
      </c>
      <c r="N6" s="353"/>
      <c r="O6" s="93">
        <f>IF(O5="","",IF(OR(O5=Construction!B19,O5=Construction!B20,O5=Construction!B17,O5=Construction!B18,O5=Construction!B31,O5=Construction!B32),20,50))</f>
        <v>50</v>
      </c>
      <c r="P6" s="1" t="str">
        <f>IF(O5="CORE14","Years","Jahre")</f>
        <v>Jahre</v>
      </c>
    </row>
    <row r="7" spans="1:17" ht="20" thickBot="1" x14ac:dyDescent="0.25">
      <c r="A7" s="68"/>
      <c r="B7" s="151"/>
      <c r="C7" s="152"/>
      <c r="D7" s="152"/>
      <c r="E7" s="152"/>
      <c r="F7" s="152" t="s">
        <v>1</v>
      </c>
      <c r="G7" s="153">
        <f>I115</f>
        <v>100</v>
      </c>
      <c r="H7" s="153">
        <f>M115</f>
        <v>100</v>
      </c>
      <c r="I7" s="153">
        <f>Q115</f>
        <v>100</v>
      </c>
      <c r="J7" s="153">
        <f>U115</f>
        <v>100</v>
      </c>
      <c r="K7" s="153">
        <f>Y115</f>
        <v>100</v>
      </c>
      <c r="L7" s="153">
        <f>AC115</f>
        <v>100</v>
      </c>
      <c r="M7" s="153">
        <f>AG124</f>
        <v>100</v>
      </c>
      <c r="N7" s="154" t="s">
        <v>2</v>
      </c>
      <c r="O7" s="154" t="s">
        <v>2</v>
      </c>
      <c r="P7" s="154" t="s">
        <v>2</v>
      </c>
      <c r="Q7" s="156">
        <f>AK113</f>
        <v>100</v>
      </c>
    </row>
    <row r="8" spans="1:17" ht="46" thickBot="1" x14ac:dyDescent="0.25">
      <c r="A8" s="68"/>
      <c r="B8" s="455"/>
      <c r="C8" s="456"/>
      <c r="D8" s="456"/>
      <c r="E8" s="456"/>
      <c r="F8" s="457"/>
      <c r="G8" s="2" t="str">
        <f>IF(O5="CORE14","Global Warming Potential","Treibhaus-
potenzial")</f>
        <v>Treibhaus-
potenzial</v>
      </c>
      <c r="H8" s="3" t="str">
        <f>IF(O5="CORE14","Ozone Depletion Potential","Ozonschicht-
abbaupotenzial")</f>
        <v>Ozonschicht-
abbaupotenzial</v>
      </c>
      <c r="I8" s="4" t="str">
        <f>IF(O5="CORE14","Photochemical Ozone Creation Potential","Ozonbildungs-
potenzial")</f>
        <v>Ozonbildungs-
potenzial</v>
      </c>
      <c r="J8" s="3" t="str">
        <f>IF(O5="CORE14","Acid Potential","Versauerungs-
potenzial")</f>
        <v>Versauerungs-
potenzial</v>
      </c>
      <c r="K8" s="3" t="str">
        <f>IF(O5="CORE14","Eutrophication Potential","Überdüngungs-
potenzial")</f>
        <v>Überdüngungs-
potenzial</v>
      </c>
      <c r="L8" s="3" t="str">
        <f>IF(O5="CORE14","Non-renewable primary energy demand","Nichterneuerbarer Primärenergiebedarf")</f>
        <v>Nichterneuerbarer Primärenergiebedarf</v>
      </c>
      <c r="M8" s="5" t="str">
        <f>IF(O5="CORE14","Total primary energy demand","Gesamtprimär-energiebedarf")</f>
        <v>Gesamtprimär-energiebedarf</v>
      </c>
      <c r="N8" s="3" t="str">
        <f>IF(O5="CORE14","Abiotic consumption of resources - Material","Abiotischer Ressourcenverbrauch - Stofflich")</f>
        <v>Abiotischer Ressourcenverbrauch - Stofflich</v>
      </c>
      <c r="O8" s="6" t="str">
        <f>IF(O5="CORE14","abiotic consumption of resources - Fossil","Abiotischer Ressourcenverbrauch - Fossil")</f>
        <v>Abiotischer Ressourcenverbrauch - Fossil</v>
      </c>
      <c r="P8" s="6" t="str">
        <f>IF(O5="CORE14","Water Use","Wasserverbrauch")</f>
        <v>Wasserverbrauch</v>
      </c>
      <c r="Q8" s="155" t="s">
        <v>3</v>
      </c>
    </row>
    <row r="9" spans="1:17" ht="16" thickBot="1" x14ac:dyDescent="0.25">
      <c r="A9" s="68"/>
      <c r="B9" s="458"/>
      <c r="C9" s="459"/>
      <c r="D9" s="459"/>
      <c r="E9" s="459"/>
      <c r="F9" s="460"/>
      <c r="G9" s="7" t="s">
        <v>4</v>
      </c>
      <c r="H9" s="7" t="s">
        <v>5</v>
      </c>
      <c r="I9" s="8" t="s">
        <v>6</v>
      </c>
      <c r="J9" s="7" t="s">
        <v>7</v>
      </c>
      <c r="K9" s="7" t="s">
        <v>8</v>
      </c>
      <c r="L9" s="70" t="s">
        <v>9</v>
      </c>
      <c r="M9" s="71" t="s">
        <v>10</v>
      </c>
      <c r="N9" s="72" t="s">
        <v>11</v>
      </c>
      <c r="O9" s="73" t="s">
        <v>12</v>
      </c>
      <c r="P9" s="73" t="s">
        <v>13</v>
      </c>
      <c r="Q9" s="68"/>
    </row>
    <row r="10" spans="1:17" ht="16" thickBot="1" x14ac:dyDescent="0.25">
      <c r="A10" s="68"/>
      <c r="B10" s="461" t="str">
        <f>IF(O5="CORE14","Unit","Einheit")</f>
        <v>Einheit</v>
      </c>
      <c r="C10" s="461"/>
      <c r="D10" s="461"/>
      <c r="E10" s="461"/>
      <c r="F10" s="461"/>
      <c r="G10" s="9" t="str">
        <f>IF($F$54="BRI [m³]","kg/(m³BRI*a)","[kg/(m²NRF*a)]")</f>
        <v>[kg/(m²NRF*a)]</v>
      </c>
      <c r="H10" s="9" t="str">
        <f>IF($F$54="BRI [m³]","kg/(m³BRI*a)","[kg/(m²NRF*a)]")</f>
        <v>[kg/(m²NRF*a)]</v>
      </c>
      <c r="I10" s="9" t="str">
        <f>IF($F$54="BRI [m³]","kg/(m³BRI*a)","[kg/(m²NRF*a)]")</f>
        <v>[kg/(m²NRF*a)]</v>
      </c>
      <c r="J10" s="9" t="str">
        <f>IF($F$54="BRI [m³]","kg/(m³BRI*a)","[kg/(m²NRF*a)]")</f>
        <v>[kg/(m²NRF*a)]</v>
      </c>
      <c r="K10" s="9" t="str">
        <f>IF($F$54="BRI [m³]","kg/(m³BRI*a)","[kg/(m²NRF*a)]")</f>
        <v>[kg/(m²NRF*a)]</v>
      </c>
      <c r="L10" s="9" t="str">
        <f>IF($O$5="CORE14","[MJ/m²NFA*a]","[MJ/m²NRF*a]")</f>
        <v>[MJ/m²NRF*a]</v>
      </c>
      <c r="M10" s="9" t="str">
        <f>IF($O$5="CORE14","[MJ/m²NFA*a]","[MJ/m²NRF*a]")</f>
        <v>[MJ/m²NRF*a]</v>
      </c>
      <c r="N10" s="10" t="s">
        <v>167</v>
      </c>
      <c r="O10" s="9" t="s">
        <v>168</v>
      </c>
      <c r="P10" s="9" t="s">
        <v>169</v>
      </c>
      <c r="Q10" s="68"/>
    </row>
    <row r="11" spans="1:17" ht="32.25" customHeight="1" thickTop="1" thickBot="1" x14ac:dyDescent="0.25">
      <c r="A11" s="68"/>
      <c r="B11" s="462" t="str">
        <f>IF(O5="CORE14","Reference Building","Referenzgebäude")</f>
        <v>Referenzgebäude</v>
      </c>
      <c r="C11" s="102" t="str">
        <f>IF($O$5="CORE14","Whole Life Cycle","Gesamter Lebenszyklus")</f>
        <v>Gesamter Lebenszyklus</v>
      </c>
      <c r="D11" s="103" t="s">
        <v>14</v>
      </c>
      <c r="E11" s="104" t="str">
        <f>IF($O$5="CORE14","T ref","Gref")</f>
        <v>Gref</v>
      </c>
      <c r="F11" s="105" t="str">
        <f>IF(O5="CORE14","Total Value (C+U)","Gesamtwert (K+N)")</f>
        <v>Gesamtwert (K+N)</v>
      </c>
      <c r="G11" s="106">
        <f>G12+G17</f>
        <v>38.602341188133913</v>
      </c>
      <c r="H11" s="107">
        <f t="shared" ref="H11:K11" si="0">H12+H17</f>
        <v>5.3005447545082486E-7</v>
      </c>
      <c r="I11" s="106">
        <f t="shared" si="0"/>
        <v>7.6382513536185463E-3</v>
      </c>
      <c r="J11" s="108">
        <f t="shared" si="0"/>
        <v>7.6129131396324254E-2</v>
      </c>
      <c r="K11" s="108">
        <f t="shared" si="0"/>
        <v>9.9941101705686465E-3</v>
      </c>
      <c r="L11" s="108">
        <f t="shared" ref="L11" si="1">L12+L17</f>
        <v>523.86077429522857</v>
      </c>
      <c r="M11" s="108">
        <f t="shared" ref="M11" si="2">M12+M17</f>
        <v>694.40542464221244</v>
      </c>
      <c r="N11" s="109"/>
      <c r="O11" s="111"/>
      <c r="P11" s="110"/>
      <c r="Q11" s="68"/>
    </row>
    <row r="12" spans="1:17" ht="15" customHeight="1" x14ac:dyDescent="0.2">
      <c r="A12" s="68"/>
      <c r="B12" s="463"/>
      <c r="C12" s="11" t="str">
        <f>IF(O5="CORE14","Production","Produktion")</f>
        <v>Produktion</v>
      </c>
      <c r="D12" s="12" t="s">
        <v>15</v>
      </c>
      <c r="E12" s="464" t="str">
        <f>IF(O5="CORE14","Cref","Kef")</f>
        <v>Kef</v>
      </c>
      <c r="F12" s="467" t="str">
        <f>IF(O5="CORE14","Manufacture, maintenance and disposal","Herstellung, Instandhaltung und Entsorgung")</f>
        <v>Herstellung, Instandhaltung und Entsorgung</v>
      </c>
      <c r="G12" s="354">
        <f>IF($Q$3="",0,IF(ISERROR(VLOOKUP($Q$3,Construction!L2:S103,2,FALSE)),VLOOKUP($Q$3,Construction!B2:I103,2,FALSE),IF(F54="BRI [m³]",VLOOKUP($Q$3,Construction!L2:S103,2,FALSE),VLOOKUP($Q$3,Construction!B2:I103,2,FALSE))))</f>
        <v>9.4</v>
      </c>
      <c r="H12" s="354">
        <f>IF($Q$3="",0,IF(ISERROR(VLOOKUP($Q$3,Construction!L2:S103,3,FALSE)),VLOOKUP($Q$3,Construction!B2:I103,3,FALSE),IF(F54="BRI [m³]",VLOOKUP($Q$3,Construction!L2:S103,3,FALSE),VLOOKUP($Q$3,Construction!B2:I103,3,FALSE))))</f>
        <v>5.3000000000000001E-7</v>
      </c>
      <c r="I12" s="354">
        <f>IF($Q$3="",0,IF(ISERROR(VLOOKUP($Q$3,Construction!L2:S103,4,FALSE)),VLOOKUP($Q$3,Construction!B2:I103,4,FALSE),IF(F54="BRI [m³]",VLOOKUP($Q$3,Construction!L2:S103,4,FALSE),VLOOKUP($Q$3,Construction!B2:I103,4,FALSE))))</f>
        <v>4.1999999999999997E-3</v>
      </c>
      <c r="J12" s="354">
        <f>IF($Q$3="",0,IF(ISERROR(VLOOKUP($Q$3,Construction!L2:S103,5,FALSE)),VLOOKUP($Q$3,Construction!B2:I103,5,FALSE),IF(F54="BRI [m³]",VLOOKUP($Q$3,Construction!L2:S103,5,FALSE),VLOOKUP($Q$3,Construction!B2:I103,5,FALSE))))</f>
        <v>3.6999999999999998E-2</v>
      </c>
      <c r="K12" s="354">
        <f>IF($Q$3="",0,IF(ISERROR(VLOOKUP($Q$3,Construction!L2:S103,6,FALSE)),VLOOKUP($Q$3,Construction!B2:I103,6,FALSE),IF(F54="BRI [m³]",VLOOKUP($Q$3,Construction!L2:S103,6,FALSE),VLOOKUP($Q$3,Construction!B2:I103,6,FALSE))))</f>
        <v>4.7000000000000002E-3</v>
      </c>
      <c r="L12" s="354">
        <f>IF($Q$3="",0,IF(ISERROR(VLOOKUP($Q$3,Construction!L2:S103,7,FALSE)),VLOOKUP($Q$3,Construction!B2:I103,7,FALSE),IF(F54="BRI [m³]",VLOOKUP($Q$3,Construction!L2:S103,7,FALSE),VLOOKUP($Q$3,Construction!B2:I103,7,FALSE))))</f>
        <v>123</v>
      </c>
      <c r="M12" s="354">
        <f>IF($Q$3="",0,IF(ISERROR(VLOOKUP($Q$3,Construction!L2:S103,8,FALSE)),VLOOKUP($Q$3,Construction!B2:I103,8,FALSE),IF(F54="BRI [m³]",VLOOKUP($Q$3,Construction!L2:S103,8,FALSE),VLOOKUP($Q$3,Construction!B2:I103,8,FALSE))))</f>
        <v>151</v>
      </c>
      <c r="N12" s="366" t="str">
        <f>IF($O$5="CORE14","undeclared","nicht deklariert")</f>
        <v>nicht deklariert</v>
      </c>
      <c r="O12" s="366" t="str">
        <f>IF($O$5="CORE14","undeclared","nicht deklariert")</f>
        <v>nicht deklariert</v>
      </c>
      <c r="P12" s="366" t="str">
        <f>IF($O$5="CORE14","undeclared","nicht deklariert")</f>
        <v>nicht deklariert</v>
      </c>
      <c r="Q12" s="68"/>
    </row>
    <row r="13" spans="1:17" ht="15" customHeight="1" x14ac:dyDescent="0.2">
      <c r="A13" s="68"/>
      <c r="B13" s="463"/>
      <c r="C13" s="13" t="str">
        <f>IF(O5="CORE14","Maintenance","Instandhaltung")</f>
        <v>Instandhaltung</v>
      </c>
      <c r="D13" s="14" t="s">
        <v>16</v>
      </c>
      <c r="E13" s="465"/>
      <c r="F13" s="468"/>
      <c r="G13" s="355"/>
      <c r="H13" s="470"/>
      <c r="I13" s="355"/>
      <c r="J13" s="355"/>
      <c r="K13" s="355"/>
      <c r="L13" s="355"/>
      <c r="M13" s="355"/>
      <c r="N13" s="367"/>
      <c r="O13" s="367"/>
      <c r="P13" s="367"/>
      <c r="Q13" s="68"/>
    </row>
    <row r="14" spans="1:17" ht="59.25" customHeight="1" x14ac:dyDescent="0.2">
      <c r="A14" s="68"/>
      <c r="B14" s="463"/>
      <c r="C14" s="15" t="str">
        <f>IF(O5="CORE14","Waste treatment for reuse, recovery and / or recycling","Abfallbehandlung zur Wiederverwendung, Rückgewinnung und/ oder Recycling")</f>
        <v>Abfallbehandlung zur Wiederverwendung, Rückgewinnung und/ oder Recycling</v>
      </c>
      <c r="D14" s="14" t="s">
        <v>17</v>
      </c>
      <c r="E14" s="465"/>
      <c r="F14" s="468"/>
      <c r="G14" s="355"/>
      <c r="H14" s="470"/>
      <c r="I14" s="355"/>
      <c r="J14" s="355"/>
      <c r="K14" s="355"/>
      <c r="L14" s="355"/>
      <c r="M14" s="355"/>
      <c r="N14" s="367"/>
      <c r="O14" s="367"/>
      <c r="P14" s="367"/>
      <c r="Q14" s="68"/>
    </row>
    <row r="15" spans="1:17" ht="15" customHeight="1" x14ac:dyDescent="0.2">
      <c r="A15" s="68"/>
      <c r="B15" s="463"/>
      <c r="C15" s="13" t="str">
        <f>IF(O5="CORE14","Disposal","Deponierung")</f>
        <v>Deponierung</v>
      </c>
      <c r="D15" s="14" t="s">
        <v>18</v>
      </c>
      <c r="E15" s="465"/>
      <c r="F15" s="468"/>
      <c r="G15" s="355"/>
      <c r="H15" s="470"/>
      <c r="I15" s="355"/>
      <c r="J15" s="355"/>
      <c r="K15" s="355"/>
      <c r="L15" s="355"/>
      <c r="M15" s="355"/>
      <c r="N15" s="367"/>
      <c r="O15" s="367"/>
      <c r="P15" s="367"/>
      <c r="Q15" s="68"/>
    </row>
    <row r="16" spans="1:17" ht="33" customHeight="1" thickBot="1" x14ac:dyDescent="0.25">
      <c r="A16" s="68"/>
      <c r="B16" s="463"/>
      <c r="C16" s="16" t="str">
        <f>IF(O5="CORE14","Credits and charges outside the System boundary","Gutschriften und Lasten außerhalb der Systemgrenze")</f>
        <v>Gutschriften und Lasten außerhalb der Systemgrenze</v>
      </c>
      <c r="D16" s="17" t="s">
        <v>19</v>
      </c>
      <c r="E16" s="466"/>
      <c r="F16" s="469"/>
      <c r="G16" s="356"/>
      <c r="H16" s="471"/>
      <c r="I16" s="356"/>
      <c r="J16" s="356"/>
      <c r="K16" s="356"/>
      <c r="L16" s="356"/>
      <c r="M16" s="356"/>
      <c r="N16" s="368"/>
      <c r="O16" s="368"/>
      <c r="P16" s="368"/>
      <c r="Q16" s="68"/>
    </row>
    <row r="17" spans="1:17" ht="17" x14ac:dyDescent="0.2">
      <c r="A17" s="68"/>
      <c r="B17" s="463"/>
      <c r="C17" s="385" t="str">
        <f>IF(O5="CORE14","Energy input for the operation of the building","Energieeinsatz für das Betreiben des Gebäudes")</f>
        <v>Energieeinsatz für das Betreiben des Gebäudes</v>
      </c>
      <c r="D17" s="472" t="s">
        <v>20</v>
      </c>
      <c r="E17" s="18" t="str">
        <f>IF(O5="CORE14","Uref","Nref")</f>
        <v>Nref</v>
      </c>
      <c r="F17" s="18" t="str">
        <f>IF(O5="CORE14","Operation","Betrieb")</f>
        <v>Betrieb</v>
      </c>
      <c r="G17" s="60">
        <f>SUM(G18:G20)</f>
        <v>29.202341188133911</v>
      </c>
      <c r="H17" s="60">
        <f t="shared" ref="H17:M17" si="3">SUM(H18:H20)</f>
        <v>5.447545082488116E-11</v>
      </c>
      <c r="I17" s="60">
        <f t="shared" si="3"/>
        <v>3.4382513536185466E-3</v>
      </c>
      <c r="J17" s="60">
        <f t="shared" si="3"/>
        <v>3.9129131396324256E-2</v>
      </c>
      <c r="K17" s="60">
        <f t="shared" si="3"/>
        <v>5.2941101705686472E-3</v>
      </c>
      <c r="L17" s="60">
        <f t="shared" si="3"/>
        <v>400.86077429522862</v>
      </c>
      <c r="M17" s="60">
        <f t="shared" si="3"/>
        <v>543.40542464221244</v>
      </c>
      <c r="N17" s="19" t="str">
        <f>IF($O$5="CORE14","undeclared","nicht deklariert")</f>
        <v>nicht deklariert</v>
      </c>
      <c r="O17" s="19" t="str">
        <f>IF($O$5="CORE14","undeclared","nicht deklariert")</f>
        <v>nicht deklariert</v>
      </c>
      <c r="P17" s="19" t="str">
        <f>IF($O$5="CORE14","undeclared","nicht deklariert")</f>
        <v>nicht deklariert</v>
      </c>
      <c r="Q17" s="68"/>
    </row>
    <row r="18" spans="1:17" ht="12.75" customHeight="1" x14ac:dyDescent="0.2">
      <c r="A18" s="68"/>
      <c r="B18" s="463"/>
      <c r="C18" s="386"/>
      <c r="D18" s="473"/>
      <c r="E18" s="20" t="str">
        <f>IF(O5="CORE14","Uelref","Nsref")</f>
        <v>Nsref</v>
      </c>
      <c r="F18" s="21" t="str">
        <f>IF(O5="CORE14","Electricity demand","Strombedarf")</f>
        <v>Strombedarf</v>
      </c>
      <c r="G18" s="22">
        <f t="shared" ref="G18:M18" si="4">IFERROR(IF($F$74="kWh/m²a",$F$75*G92*$G$97,$F$75/$F$55*G92),"")</f>
        <v>14.893365362617248</v>
      </c>
      <c r="H18" s="22">
        <f t="shared" si="4"/>
        <v>5.3502936017692364E-11</v>
      </c>
      <c r="I18" s="22">
        <f t="shared" si="4"/>
        <v>1.5613597193624646E-3</v>
      </c>
      <c r="J18" s="22">
        <f t="shared" si="4"/>
        <v>2.2404354457408678E-2</v>
      </c>
      <c r="K18" s="22">
        <f t="shared" si="4"/>
        <v>3.6526042858232291E-3</v>
      </c>
      <c r="L18" s="22">
        <f t="shared" si="4"/>
        <v>187.77472736978569</v>
      </c>
      <c r="M18" s="22">
        <f t="shared" si="4"/>
        <v>287.57828109509643</v>
      </c>
      <c r="N18" s="23"/>
      <c r="O18" s="23"/>
      <c r="P18" s="23"/>
      <c r="Q18" s="68"/>
    </row>
    <row r="19" spans="1:17" ht="12.75" customHeight="1" x14ac:dyDescent="0.2">
      <c r="A19" s="68"/>
      <c r="B19" s="463"/>
      <c r="C19" s="386"/>
      <c r="D19" s="473"/>
      <c r="E19" s="24" t="str">
        <f>IF(O5="CORE14","Uhref","Nwref")</f>
        <v>Nwref</v>
      </c>
      <c r="F19" s="25" t="str">
        <f>IF(O5="CORE14","Heat demand","Wärmebedarf")</f>
        <v>Wärmebedarf</v>
      </c>
      <c r="G19" s="26">
        <f t="shared" ref="G19:M19" si="5">IFERROR(IF($F$74="kWh/m²a",$F$76*$G$97*G93,$F$76/$F$55*G93),"")</f>
        <v>14.308975825516663</v>
      </c>
      <c r="H19" s="26">
        <f t="shared" si="5"/>
        <v>9.7251480718879467E-13</v>
      </c>
      <c r="I19" s="26">
        <f t="shared" si="5"/>
        <v>1.8768916342560818E-3</v>
      </c>
      <c r="J19" s="26">
        <f t="shared" si="5"/>
        <v>1.6724776938915577E-2</v>
      </c>
      <c r="K19" s="26">
        <f t="shared" si="5"/>
        <v>1.6415058847454179E-3</v>
      </c>
      <c r="L19" s="26">
        <f t="shared" si="5"/>
        <v>213.08604692544293</v>
      </c>
      <c r="M19" s="26">
        <f t="shared" si="5"/>
        <v>255.82714354711607</v>
      </c>
      <c r="N19" s="23"/>
      <c r="O19" s="23"/>
      <c r="P19" s="23"/>
      <c r="Q19" s="68"/>
    </row>
    <row r="20" spans="1:17" ht="29" thickBot="1" x14ac:dyDescent="0.25">
      <c r="A20" s="68"/>
      <c r="B20" s="463"/>
      <c r="C20" s="386"/>
      <c r="D20" s="473"/>
      <c r="E20" s="24" t="str">
        <f>IF(O5="CORE14","","Naref")</f>
        <v>Naref</v>
      </c>
      <c r="F20" s="117" t="str">
        <f>IF(O5="CORE14","undeclared","Strom- und Wärmebedarf der Nutzerausstattung")</f>
        <v>Strom- und Wärmebedarf der Nutzerausstattung</v>
      </c>
      <c r="G20" s="26">
        <f>IFERROR(IF($F$74="kWh/m²a",$F$77*$G$97*G94+$F$78*$G$97*G95,$F$77/$F$55*G94+$F$78/$F$55*G95),"")</f>
        <v>0</v>
      </c>
      <c r="H20" s="26">
        <f t="shared" ref="H20:M20" si="6">IFERROR(IF($F$74="kWh/m²a",$F$77*$G$97*H94+$F$78*$G$97*H95,$F$77/$F$55*H94+$F$78/$F$55*H95),"")</f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3"/>
      <c r="O20" s="23"/>
      <c r="P20" s="23"/>
      <c r="Q20" s="68"/>
    </row>
    <row r="21" spans="1:17" ht="33" customHeight="1" thickTop="1" thickBot="1" x14ac:dyDescent="0.25">
      <c r="A21" s="68"/>
      <c r="B21" s="369" t="str">
        <f>IF(O5="CORE14","Design Building","Ist- Gebäude")</f>
        <v>Ist- Gebäude</v>
      </c>
      <c r="C21" s="97" t="str">
        <f>IF($O$5="CORE14","Whole Life Cycle","Gesamter Lebenszyklus")</f>
        <v>Gesamter Lebenszyklus</v>
      </c>
      <c r="D21" s="98" t="s">
        <v>14</v>
      </c>
      <c r="E21" s="99" t="str">
        <f>IF($O$5="CORE14","T build.","Gist")</f>
        <v>Gist</v>
      </c>
      <c r="F21" s="100" t="str">
        <f>IF(O5="CORE14","Total Value (C+U)","Gesamtwert (K+N)")</f>
        <v>Gesamtwert (K+N)</v>
      </c>
      <c r="G21" s="101">
        <f>G40+G49+G22+G23+G38+G46</f>
        <v>1.7271635724347139</v>
      </c>
      <c r="H21" s="101">
        <f t="shared" ref="H21:L21" si="7">H40+H49+H22+H23+H38+H46</f>
        <v>-1.2303519054244413E-7</v>
      </c>
      <c r="I21" s="101">
        <f t="shared" si="7"/>
        <v>3.5615483351967869E-3</v>
      </c>
      <c r="J21" s="101">
        <f t="shared" si="7"/>
        <v>1.3338706847547913E-2</v>
      </c>
      <c r="K21" s="101">
        <f t="shared" si="7"/>
        <v>2.151444384077981E-3</v>
      </c>
      <c r="L21" s="101">
        <f t="shared" si="7"/>
        <v>-22.619451073291287</v>
      </c>
      <c r="M21" s="101">
        <f>M40+M49+M22+M23+M38+M46+M50</f>
        <v>97.654811491625523</v>
      </c>
      <c r="N21" s="101">
        <f>N40+N49+N22+N23+N38+N46</f>
        <v>0</v>
      </c>
      <c r="O21" s="101">
        <f>O40+O49+O22+O23+O38+O46</f>
        <v>0</v>
      </c>
      <c r="P21" s="101">
        <f>P40+P49+P22+P23+P38+P46</f>
        <v>0</v>
      </c>
      <c r="Q21" s="68"/>
    </row>
    <row r="22" spans="1:17" ht="55.5" customHeight="1" thickBot="1" x14ac:dyDescent="0.25">
      <c r="A22" s="68"/>
      <c r="B22" s="370"/>
      <c r="C22" s="97" t="s">
        <v>184</v>
      </c>
      <c r="D22" s="219" t="s">
        <v>183</v>
      </c>
      <c r="E22" s="220"/>
      <c r="F22" s="221"/>
      <c r="G22" s="101">
        <f>IF($F$83="Nein",$F$82*(G23+G38+G46+G49),0)</f>
        <v>0</v>
      </c>
      <c r="H22" s="101">
        <f t="shared" ref="H22:P22" si="8">IF($F$83="Nein",$F$82*(H23+H38+H46+H49),0)</f>
        <v>0</v>
      </c>
      <c r="I22" s="101">
        <f t="shared" si="8"/>
        <v>0</v>
      </c>
      <c r="J22" s="101">
        <f t="shared" si="8"/>
        <v>0</v>
      </c>
      <c r="K22" s="101">
        <f t="shared" si="8"/>
        <v>0</v>
      </c>
      <c r="L22" s="101">
        <f t="shared" si="8"/>
        <v>0</v>
      </c>
      <c r="M22" s="101">
        <f t="shared" si="8"/>
        <v>0</v>
      </c>
      <c r="N22" s="101">
        <f t="shared" si="8"/>
        <v>0</v>
      </c>
      <c r="O22" s="101">
        <f t="shared" si="8"/>
        <v>0</v>
      </c>
      <c r="P22" s="101">
        <f t="shared" si="8"/>
        <v>0</v>
      </c>
      <c r="Q22" s="68"/>
    </row>
    <row r="23" spans="1:17" ht="46.5" customHeight="1" x14ac:dyDescent="0.2">
      <c r="A23" s="68"/>
      <c r="B23" s="370"/>
      <c r="C23" s="387" t="str">
        <f>IF(O5="CORE14","Production","Produktion")</f>
        <v>Produktion</v>
      </c>
      <c r="D23" s="95" t="s">
        <v>21</v>
      </c>
      <c r="E23" s="390" t="str">
        <f>IF(O5="CORE14","Raw material production
Transport to the manufacturer
Manufacture",
"Rohstoffgewinnung
Transport zum Hersteller
Herstellung")</f>
        <v>Rohstoffgewinnung
Transport zum Hersteller
Herstellung</v>
      </c>
      <c r="F23" s="391"/>
      <c r="G23" s="96">
        <f>SUM(G24:G32)</f>
        <v>3.4924342633400003</v>
      </c>
      <c r="H23" s="96">
        <f t="shared" ref="H23:M23" si="9">SUM(H24:H32)</f>
        <v>1.1305675111000899E-7</v>
      </c>
      <c r="I23" s="96">
        <f t="shared" si="9"/>
        <v>3.1093378442405401E-3</v>
      </c>
      <c r="J23" s="96">
        <f t="shared" si="9"/>
        <v>1.9997524131184601E-2</v>
      </c>
      <c r="K23" s="96">
        <f t="shared" si="9"/>
        <v>2.6945493279251801E-3</v>
      </c>
      <c r="L23" s="96">
        <f t="shared" si="9"/>
        <v>75.421406945940006</v>
      </c>
      <c r="M23" s="96">
        <f t="shared" si="9"/>
        <v>147.54199208144001</v>
      </c>
      <c r="N23" s="96">
        <f t="shared" ref="N23:P23" si="10">SUM(N24:N32)</f>
        <v>0</v>
      </c>
      <c r="O23" s="96">
        <f t="shared" si="10"/>
        <v>0</v>
      </c>
      <c r="P23" s="96">
        <f t="shared" si="10"/>
        <v>0</v>
      </c>
      <c r="Q23" s="68"/>
    </row>
    <row r="24" spans="1:17" s="75" customFormat="1" ht="12" customHeight="1" x14ac:dyDescent="0.15">
      <c r="A24" s="74"/>
      <c r="B24" s="370"/>
      <c r="C24" s="388"/>
      <c r="D24" s="27"/>
      <c r="E24" s="28" t="str">
        <f>IF(O5="CORE14","CG310","KG 310")</f>
        <v>KG 310</v>
      </c>
      <c r="F24" s="29" t="str">
        <f>IF(O5="CORE14","Excavation","Baugrube")</f>
        <v>Baugrube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6"/>
      <c r="O24" s="66"/>
      <c r="P24" s="66"/>
      <c r="Q24" s="74"/>
    </row>
    <row r="25" spans="1:17" s="75" customFormat="1" ht="12" customHeight="1" x14ac:dyDescent="0.15">
      <c r="A25" s="74"/>
      <c r="B25" s="370"/>
      <c r="C25" s="388"/>
      <c r="D25" s="27"/>
      <c r="E25" s="28" t="str">
        <f>IF(O5="CORE14","CG320","KG 320")</f>
        <v>KG 320</v>
      </c>
      <c r="F25" s="29" t="str">
        <f>IF(O5="CORE14","Foundation","Gründung")</f>
        <v>Gründung</v>
      </c>
      <c r="G25" s="63">
        <f>'Projekt Herstellung'!L4</f>
        <v>0.62619163233000008</v>
      </c>
      <c r="H25" s="63">
        <f>'Projekt Herstellung'!L5</f>
        <v>8.5536040384300002E-10</v>
      </c>
      <c r="I25" s="63">
        <f>'Projekt Herstellung'!L6</f>
        <v>1.1046585253000001E-4</v>
      </c>
      <c r="J25" s="63">
        <f>'Projekt Herstellung'!L7</f>
        <v>1.0729101481560001E-3</v>
      </c>
      <c r="K25" s="63">
        <f>'Projekt Herstellung'!L8</f>
        <v>1.4267239457900003E-4</v>
      </c>
      <c r="L25" s="63">
        <f>'Projekt Herstellung'!L12</f>
        <v>4.7591652773500002</v>
      </c>
      <c r="M25" s="63">
        <f>'Projekt Herstellung'!L9</f>
        <v>5.6908363590100004</v>
      </c>
      <c r="N25" s="66"/>
      <c r="O25" s="66"/>
      <c r="P25" s="66"/>
      <c r="Q25" s="74"/>
    </row>
    <row r="26" spans="1:17" s="75" customFormat="1" ht="12" customHeight="1" x14ac:dyDescent="0.15">
      <c r="A26" s="74"/>
      <c r="B26" s="370"/>
      <c r="C26" s="388"/>
      <c r="D26" s="27"/>
      <c r="E26" s="28" t="str">
        <f>IF(O5="CORE14","CG330","KG 330")</f>
        <v>KG 330</v>
      </c>
      <c r="F26" s="30" t="str">
        <f>IF(O5="CORE14","Outer walls","Außenwände")</f>
        <v>Außenwände</v>
      </c>
      <c r="G26" s="63">
        <f>'Projekt Herstellung'!L21</f>
        <v>-1.2121355700300003</v>
      </c>
      <c r="H26" s="63">
        <f>'Projekt Herstellung'!L22</f>
        <v>7.3736237518899999E-8</v>
      </c>
      <c r="I26" s="63">
        <f>'Projekt Herstellung'!L23</f>
        <v>1.5042462487800002E-3</v>
      </c>
      <c r="J26" s="63">
        <f>'Projekt Herstellung'!L24</f>
        <v>6.0563994653799998E-3</v>
      </c>
      <c r="K26" s="63">
        <f>'Projekt Herstellung'!L25</f>
        <v>1.0693869752390001E-3</v>
      </c>
      <c r="L26" s="63">
        <f>'Projekt Herstellung'!L29</f>
        <v>18.947469178990001</v>
      </c>
      <c r="M26" s="63">
        <f>'Projekt Herstellung'!L26</f>
        <v>60.234652927130007</v>
      </c>
      <c r="N26" s="66"/>
      <c r="O26" s="66"/>
      <c r="P26" s="66"/>
      <c r="Q26" s="74"/>
    </row>
    <row r="27" spans="1:17" s="75" customFormat="1" ht="12" customHeight="1" x14ac:dyDescent="0.15">
      <c r="A27" s="74"/>
      <c r="B27" s="370"/>
      <c r="C27" s="388"/>
      <c r="D27" s="27"/>
      <c r="E27" s="28" t="str">
        <f>IF(O5="CORE14","CG340","KG 340")</f>
        <v>KG 340</v>
      </c>
      <c r="F27" s="29" t="str">
        <f>IF(O5="CORE14","Internal walls","Innenwände")</f>
        <v>Innenwände</v>
      </c>
      <c r="G27" s="63">
        <f>'Projekt Herstellung'!L38</f>
        <v>1.4168481124600003</v>
      </c>
      <c r="H27" s="63">
        <f>'Projekt Herstellung'!L39</f>
        <v>1.4611518433600002E-9</v>
      </c>
      <c r="I27" s="63">
        <f>'Projekt Herstellung'!L40</f>
        <v>5.2501075227700004E-4</v>
      </c>
      <c r="J27" s="63">
        <f>'Projekt Herstellung'!L41</f>
        <v>3.85155359358E-3</v>
      </c>
      <c r="K27" s="63">
        <f>'Projekt Herstellung'!L42</f>
        <v>3.7240989952100004E-4</v>
      </c>
      <c r="L27" s="63">
        <f>'Projekt Herstellung'!L46</f>
        <v>13.922271492030001</v>
      </c>
      <c r="M27" s="63">
        <f>'Projekt Herstellung'!L43</f>
        <v>17.853469746090003</v>
      </c>
      <c r="N27" s="66"/>
      <c r="O27" s="66"/>
      <c r="P27" s="66"/>
      <c r="Q27" s="74"/>
    </row>
    <row r="28" spans="1:17" s="75" customFormat="1" ht="12" customHeight="1" x14ac:dyDescent="0.15">
      <c r="A28" s="74"/>
      <c r="B28" s="370"/>
      <c r="C28" s="388"/>
      <c r="D28" s="27"/>
      <c r="E28" s="28" t="str">
        <f>IF(O5="CORE14","CG350","KG 350")</f>
        <v>KG 350</v>
      </c>
      <c r="F28" s="29" t="str">
        <f>IF(O5="CORE14","Ceilings","Decken")</f>
        <v>Decken</v>
      </c>
      <c r="G28" s="63">
        <f>'Projekt Herstellung'!L55</f>
        <v>2.2179556253800001</v>
      </c>
      <c r="H28" s="63">
        <f>'Projekt Herstellung'!L56</f>
        <v>3.9355832100200002E-9</v>
      </c>
      <c r="I28" s="63">
        <f>'Projekt Herstellung'!L57</f>
        <v>4.9968989662899999E-4</v>
      </c>
      <c r="J28" s="63">
        <f>'Projekt Herstellung'!L58</f>
        <v>5.7342187443200007E-3</v>
      </c>
      <c r="K28" s="63">
        <f>'Projekt Herstellung'!L59</f>
        <v>7.7860524718899999E-4</v>
      </c>
      <c r="L28" s="63">
        <f>'Projekt Herstellung'!L63</f>
        <v>23.776351568310005</v>
      </c>
      <c r="M28" s="63">
        <f>'Projekt Herstellung'!L60</f>
        <v>39.957101779319999</v>
      </c>
      <c r="N28" s="66"/>
      <c r="O28" s="66"/>
      <c r="P28" s="66"/>
      <c r="Q28" s="74"/>
    </row>
    <row r="29" spans="1:17" s="75" customFormat="1" ht="12" customHeight="1" x14ac:dyDescent="0.15">
      <c r="A29" s="74"/>
      <c r="B29" s="370"/>
      <c r="C29" s="388"/>
      <c r="D29" s="27"/>
      <c r="E29" s="28" t="str">
        <f>IF(O5="CORE14","CG360","KG 360")</f>
        <v>KG 360</v>
      </c>
      <c r="F29" s="29" t="str">
        <f>IF(O5="CORE14","Roofs","Dächer")</f>
        <v>Dächer</v>
      </c>
      <c r="G29" s="63">
        <f>'Projekt Herstellung'!L72</f>
        <v>-0.25665231988000003</v>
      </c>
      <c r="H29" s="63">
        <f>'Projekt Herstellung'!L73</f>
        <v>1.1002744580300001E-8</v>
      </c>
      <c r="I29" s="63">
        <f>'Projekt Herstellung'!L74</f>
        <v>1.26555184371E-4</v>
      </c>
      <c r="J29" s="63">
        <f>'Projekt Herstellung'!L75</f>
        <v>6.4442721582800005E-4</v>
      </c>
      <c r="K29" s="63">
        <f>'Projekt Herstellung'!L76</f>
        <v>1.2044620063300002E-4</v>
      </c>
      <c r="L29" s="63">
        <f>'Projekt Herstellung'!L80</f>
        <v>3.7409581229900004</v>
      </c>
      <c r="M29" s="63">
        <f>'Projekt Herstellung'!L77</f>
        <v>10.83110532856</v>
      </c>
      <c r="N29" s="66"/>
      <c r="O29" s="66"/>
      <c r="P29" s="66"/>
      <c r="Q29" s="74"/>
    </row>
    <row r="30" spans="1:17" s="75" customFormat="1" ht="12" customHeight="1" x14ac:dyDescent="0.15">
      <c r="A30" s="74"/>
      <c r="B30" s="370"/>
      <c r="C30" s="388"/>
      <c r="D30" s="27"/>
      <c r="E30" s="28" t="str">
        <f>IF(O5="CORE14","CG370","KG 370")</f>
        <v>KG 370</v>
      </c>
      <c r="F30" s="29" t="str">
        <f>IF(O5="CORE14","Building constructions","Baukonstruktive Einbauten")</f>
        <v>Baukonstruktive Einbauten</v>
      </c>
      <c r="G30" s="63">
        <f>'Projekt Herstellung'!L89</f>
        <v>2.3125132910000002E-2</v>
      </c>
      <c r="H30" s="63">
        <f>'Projekt Herstellung'!L90</f>
        <v>3.0816228599199999E-13</v>
      </c>
      <c r="I30" s="63">
        <f>'Projekt Herstellung'!L91</f>
        <v>2.73586167954E-6</v>
      </c>
      <c r="J30" s="63">
        <f>'Projekt Herstellung'!L92</f>
        <v>2.0325317590600001E-5</v>
      </c>
      <c r="K30" s="63">
        <f>'Projekt Herstellung'!L93</f>
        <v>3.0523277771800003E-6</v>
      </c>
      <c r="L30" s="63">
        <f>'Projekt Herstellung'!L97</f>
        <v>0.36771505716000003</v>
      </c>
      <c r="M30" s="63">
        <f>'Projekt Herstellung'!L94</f>
        <v>0.37941435686000002</v>
      </c>
      <c r="N30" s="66"/>
      <c r="O30" s="66"/>
      <c r="P30" s="66"/>
      <c r="Q30" s="74"/>
    </row>
    <row r="31" spans="1:17" s="75" customFormat="1" ht="12" customHeight="1" x14ac:dyDescent="0.15">
      <c r="A31" s="74"/>
      <c r="B31" s="370"/>
      <c r="C31" s="388"/>
      <c r="D31" s="27"/>
      <c r="E31" s="28" t="str">
        <f>IF(O5="CORE14","CG390","KG 390")</f>
        <v>KG 390</v>
      </c>
      <c r="F31" s="29" t="str">
        <f>IF(O5="CORE14","Other measures for building construction","Sonst. Maßnahmen für Baukonstruktion")</f>
        <v>Sonst. Maßnahmen für Baukonstruktion</v>
      </c>
      <c r="G31" s="63"/>
      <c r="H31" s="63"/>
      <c r="I31" s="63"/>
      <c r="J31" s="63"/>
      <c r="K31" s="63"/>
      <c r="L31" s="63"/>
      <c r="M31" s="63"/>
      <c r="N31" s="66"/>
      <c r="O31" s="66"/>
      <c r="P31" s="66"/>
      <c r="Q31" s="74"/>
    </row>
    <row r="32" spans="1:17" s="75" customFormat="1" ht="12.75" customHeight="1" thickBot="1" x14ac:dyDescent="0.2">
      <c r="A32" s="74"/>
      <c r="B32" s="370"/>
      <c r="C32" s="389"/>
      <c r="D32" s="31"/>
      <c r="E32" s="32" t="str">
        <f>IF(O5="CORE14","CG400","KG 400")</f>
        <v>KG 400</v>
      </c>
      <c r="F32" s="33" t="str">
        <f>IF(O5="CORE14","Building-technical installations","Bauwerk-Technische Anlagen")</f>
        <v>Bauwerk-Technische Anlagen</v>
      </c>
      <c r="G32" s="63">
        <f>'Projekt Herstellung'!L106</f>
        <v>0.67710165017000001</v>
      </c>
      <c r="H32" s="63">
        <f>'Projekt Herstellung'!L107</f>
        <v>2.2065365391300002E-8</v>
      </c>
      <c r="I32" s="63">
        <f>'Projekt Herstellung'!L108</f>
        <v>3.4063404797400002E-4</v>
      </c>
      <c r="J32" s="63">
        <f>'Projekt Herstellung'!L109</f>
        <v>2.6176896463300002E-3</v>
      </c>
      <c r="K32" s="63">
        <f>'Projekt Herstellung'!L110</f>
        <v>2.0797628298700003E-4</v>
      </c>
      <c r="L32" s="63">
        <f>'Projekt Herstellung'!L114</f>
        <v>9.907476249110001</v>
      </c>
      <c r="M32" s="63">
        <f>'Projekt Herstellung'!L111</f>
        <v>12.59541158447</v>
      </c>
      <c r="N32" s="66"/>
      <c r="O32" s="66"/>
      <c r="P32" s="66"/>
      <c r="Q32" s="74"/>
    </row>
    <row r="33" spans="1:17" ht="16" thickTop="1" x14ac:dyDescent="0.2">
      <c r="A33" s="68"/>
      <c r="B33" s="370"/>
      <c r="C33" s="305" t="str">
        <f>IF(O5="CORE14","Construction of the building","Errichtung des Bauwerks")</f>
        <v>Errichtung des Bauwerks</v>
      </c>
      <c r="D33" s="34" t="s">
        <v>22</v>
      </c>
      <c r="E33" s="307" t="str">
        <f>IF(O5="CORE14","Transport to the construction site","Transport zur Baustelle")</f>
        <v>Transport zur Baustelle</v>
      </c>
      <c r="F33" s="308"/>
      <c r="G33" s="35" t="str">
        <f>IF($O$5="CORE14","undeclared","nicht deklariert")</f>
        <v>nicht deklariert</v>
      </c>
      <c r="H33" s="35" t="str">
        <f>IF($O$5="CORE14","undeclared","nicht deklariert")</f>
        <v>nicht deklariert</v>
      </c>
      <c r="I33" s="35" t="str">
        <f t="shared" ref="I33:P36" si="11">IF($O$5="CORE14","undeclared","nicht deklariert")</f>
        <v>nicht deklariert</v>
      </c>
      <c r="J33" s="35" t="str">
        <f t="shared" si="11"/>
        <v>nicht deklariert</v>
      </c>
      <c r="K33" s="35" t="str">
        <f t="shared" si="11"/>
        <v>nicht deklariert</v>
      </c>
      <c r="L33" s="35" t="str">
        <f t="shared" si="11"/>
        <v>nicht deklariert</v>
      </c>
      <c r="M33" s="35" t="str">
        <f t="shared" si="11"/>
        <v>nicht deklariert</v>
      </c>
      <c r="N33" s="35" t="str">
        <f t="shared" si="11"/>
        <v>nicht deklariert</v>
      </c>
      <c r="O33" s="35" t="str">
        <f t="shared" si="11"/>
        <v>nicht deklariert</v>
      </c>
      <c r="P33" s="35" t="str">
        <f t="shared" si="11"/>
        <v>nicht deklariert</v>
      </c>
      <c r="Q33" s="68"/>
    </row>
    <row r="34" spans="1:17" ht="16" thickBot="1" x14ac:dyDescent="0.25">
      <c r="A34" s="68"/>
      <c r="B34" s="370"/>
      <c r="C34" s="306"/>
      <c r="D34" s="36" t="s">
        <v>23</v>
      </c>
      <c r="E34" s="309" t="str">
        <f>IF(O5="CORE14","Installation in the building","Einbau in das Gebäude")</f>
        <v>Einbau in das Gebäude</v>
      </c>
      <c r="F34" s="310"/>
      <c r="G34" s="94" t="str">
        <f>IF($O$5="CORE14","undeclared","nicht deklariert")</f>
        <v>nicht deklariert</v>
      </c>
      <c r="H34" s="94" t="str">
        <f>IF($O$5="CORE14","undeclared","nicht deklariert")</f>
        <v>nicht deklariert</v>
      </c>
      <c r="I34" s="94" t="str">
        <f t="shared" si="11"/>
        <v>nicht deklariert</v>
      </c>
      <c r="J34" s="94" t="str">
        <f t="shared" si="11"/>
        <v>nicht deklariert</v>
      </c>
      <c r="K34" s="94" t="str">
        <f t="shared" si="11"/>
        <v>nicht deklariert</v>
      </c>
      <c r="L34" s="94" t="str">
        <f t="shared" si="11"/>
        <v>nicht deklariert</v>
      </c>
      <c r="M34" s="94" t="str">
        <f t="shared" si="11"/>
        <v>nicht deklariert</v>
      </c>
      <c r="N34" s="94" t="str">
        <f t="shared" si="11"/>
        <v>nicht deklariert</v>
      </c>
      <c r="O34" s="94" t="str">
        <f t="shared" si="11"/>
        <v>nicht deklariert</v>
      </c>
      <c r="P34" s="94" t="str">
        <f t="shared" si="11"/>
        <v>nicht deklariert</v>
      </c>
      <c r="Q34" s="68"/>
    </row>
    <row r="35" spans="1:17" ht="17" thickTop="1" thickBot="1" x14ac:dyDescent="0.25">
      <c r="A35" s="68"/>
      <c r="B35" s="370"/>
      <c r="C35" s="315" t="str">
        <f>IF(O5="Core14","Use","Nutzung")</f>
        <v>Nutzung</v>
      </c>
      <c r="D35" s="37" t="s">
        <v>24</v>
      </c>
      <c r="E35" s="319" t="str">
        <f>IF(O5="CORE14","Use of the built-in product","Nutzung oder Anwendung des eingebauten Produkts")</f>
        <v>Nutzung oder Anwendung des eingebauten Produkts</v>
      </c>
      <c r="F35" s="320"/>
      <c r="G35" s="35" t="str">
        <f>IF($O$5="CORE14","undeclared","nicht deklariert")</f>
        <v>nicht deklariert</v>
      </c>
      <c r="H35" s="35" t="str">
        <f t="shared" ref="H35" si="12">IF($O$5="CORE14","undeclared","nicht deklariert")</f>
        <v>nicht deklariert</v>
      </c>
      <c r="I35" s="35" t="str">
        <f t="shared" si="11"/>
        <v>nicht deklariert</v>
      </c>
      <c r="J35" s="35" t="str">
        <f t="shared" si="11"/>
        <v>nicht deklariert</v>
      </c>
      <c r="K35" s="35" t="str">
        <f t="shared" si="11"/>
        <v>nicht deklariert</v>
      </c>
      <c r="L35" s="35" t="str">
        <f t="shared" si="11"/>
        <v>nicht deklariert</v>
      </c>
      <c r="M35" s="35" t="str">
        <f t="shared" si="11"/>
        <v>nicht deklariert</v>
      </c>
      <c r="N35" s="35" t="str">
        <f t="shared" si="11"/>
        <v>nicht deklariert</v>
      </c>
      <c r="O35" s="35" t="str">
        <f t="shared" si="11"/>
        <v>nicht deklariert</v>
      </c>
      <c r="P35" s="35" t="str">
        <f t="shared" si="11"/>
        <v>nicht deklariert</v>
      </c>
      <c r="Q35" s="68"/>
    </row>
    <row r="36" spans="1:17" ht="16" thickTop="1" x14ac:dyDescent="0.2">
      <c r="A36" s="68"/>
      <c r="B36" s="370"/>
      <c r="C36" s="316"/>
      <c r="D36" s="38" t="s">
        <v>16</v>
      </c>
      <c r="E36" s="311" t="str">
        <f>IF(O5="CORE14","Maintenance","Instandhaltung")</f>
        <v>Instandhaltung</v>
      </c>
      <c r="F36" s="312"/>
      <c r="G36" s="39" t="str">
        <f>IF($O$5="CORE14","undeclared","nicht deklariert")</f>
        <v>nicht deklariert</v>
      </c>
      <c r="H36" s="39" t="str">
        <f t="shared" ref="H36:P37" si="13">IF($O$5="CORE14","undeclared","nicht deklariert")</f>
        <v>nicht deklariert</v>
      </c>
      <c r="I36" s="39" t="str">
        <f t="shared" si="13"/>
        <v>nicht deklariert</v>
      </c>
      <c r="J36" s="39" t="str">
        <f t="shared" si="13"/>
        <v>nicht deklariert</v>
      </c>
      <c r="K36" s="39" t="str">
        <f t="shared" si="13"/>
        <v>nicht deklariert</v>
      </c>
      <c r="L36" s="39" t="str">
        <f t="shared" si="13"/>
        <v>nicht deklariert</v>
      </c>
      <c r="M36" s="39" t="str">
        <f t="shared" si="13"/>
        <v>nicht deklariert</v>
      </c>
      <c r="N36" s="35" t="str">
        <f t="shared" si="11"/>
        <v>nicht deklariert</v>
      </c>
      <c r="O36" s="35" t="str">
        <f t="shared" si="11"/>
        <v>nicht deklariert</v>
      </c>
      <c r="P36" s="35" t="str">
        <f t="shared" si="11"/>
        <v>nicht deklariert</v>
      </c>
      <c r="Q36" s="68"/>
    </row>
    <row r="37" spans="1:17" x14ac:dyDescent="0.2">
      <c r="A37" s="68"/>
      <c r="B37" s="370"/>
      <c r="C37" s="316"/>
      <c r="D37" s="38" t="s">
        <v>25</v>
      </c>
      <c r="E37" s="321" t="str">
        <f>IF(O5="CORE14","Repair","Reparatur")</f>
        <v>Reparatur</v>
      </c>
      <c r="F37" s="322"/>
      <c r="G37" s="39" t="str">
        <f>IF($O$5="CORE14","undeclared","nicht deklariert")</f>
        <v>nicht deklariert</v>
      </c>
      <c r="H37" s="39" t="str">
        <f t="shared" si="13"/>
        <v>nicht deklariert</v>
      </c>
      <c r="I37" s="39" t="str">
        <f t="shared" si="13"/>
        <v>nicht deklariert</v>
      </c>
      <c r="J37" s="39" t="str">
        <f t="shared" si="13"/>
        <v>nicht deklariert</v>
      </c>
      <c r="K37" s="39" t="str">
        <f t="shared" si="13"/>
        <v>nicht deklariert</v>
      </c>
      <c r="L37" s="39" t="str">
        <f t="shared" si="13"/>
        <v>nicht deklariert</v>
      </c>
      <c r="M37" s="39" t="str">
        <f t="shared" si="13"/>
        <v>nicht deklariert</v>
      </c>
      <c r="N37" s="39" t="str">
        <f t="shared" si="13"/>
        <v>nicht deklariert</v>
      </c>
      <c r="O37" s="39" t="str">
        <f t="shared" si="13"/>
        <v>nicht deklariert</v>
      </c>
      <c r="P37" s="39" t="str">
        <f t="shared" si="13"/>
        <v>nicht deklariert</v>
      </c>
      <c r="Q37" s="68"/>
    </row>
    <row r="38" spans="1:17" x14ac:dyDescent="0.2">
      <c r="A38" s="68"/>
      <c r="B38" s="370"/>
      <c r="C38" s="316"/>
      <c r="D38" s="38" t="s">
        <v>26</v>
      </c>
      <c r="E38" s="321" t="str">
        <f>IF(O5="CORE14","Replacement","Ersatz")</f>
        <v>Ersatz</v>
      </c>
      <c r="F38" s="322"/>
      <c r="G38" s="63">
        <f>'Projekt Herstellung'!M121</f>
        <v>-5.5138731541299997</v>
      </c>
      <c r="H38" s="63">
        <f>'Projekt Herstellung'!M122</f>
        <v>4.4249664849349815E-8</v>
      </c>
      <c r="I38" s="63">
        <f>'Projekt Herstellung'!M123</f>
        <v>4.3500362188910005E-4</v>
      </c>
      <c r="J38" s="63">
        <f>'Projekt Herstellung'!M124</f>
        <v>-5.6265172641084011E-3</v>
      </c>
      <c r="K38" s="63">
        <f>'Projekt Herstellung'!M125</f>
        <v>-8.2196265991047986E-4</v>
      </c>
      <c r="L38" s="63">
        <f>'Projekt Herstellung'!M129</f>
        <v>-74.959339882020004</v>
      </c>
      <c r="M38" s="63">
        <f>'Projekt Herstellung'!M126</f>
        <v>-86.301796893290017</v>
      </c>
      <c r="N38" s="66"/>
      <c r="O38" s="66"/>
      <c r="P38" s="66"/>
      <c r="Q38" s="68"/>
    </row>
    <row r="39" spans="1:17" x14ac:dyDescent="0.2">
      <c r="A39" s="68"/>
      <c r="B39" s="370"/>
      <c r="C39" s="316"/>
      <c r="D39" s="38" t="s">
        <v>27</v>
      </c>
      <c r="E39" s="321" t="str">
        <f>IF(O5="CORE14","Renovation","Erneuerung")</f>
        <v>Erneuerung</v>
      </c>
      <c r="F39" s="322"/>
      <c r="G39" s="94" t="str">
        <f t="shared" ref="G39:P39" si="14">IF($O$5="CORE14","undeclared","nicht deklariert")</f>
        <v>nicht deklariert</v>
      </c>
      <c r="H39" s="94" t="str">
        <f t="shared" si="14"/>
        <v>nicht deklariert</v>
      </c>
      <c r="I39" s="94" t="str">
        <f t="shared" si="14"/>
        <v>nicht deklariert</v>
      </c>
      <c r="J39" s="94" t="str">
        <f t="shared" si="14"/>
        <v>nicht deklariert</v>
      </c>
      <c r="K39" s="94" t="str">
        <f t="shared" si="14"/>
        <v>nicht deklariert</v>
      </c>
      <c r="L39" s="94" t="str">
        <f t="shared" si="14"/>
        <v>nicht deklariert</v>
      </c>
      <c r="M39" s="94" t="str">
        <f t="shared" si="14"/>
        <v>nicht deklariert</v>
      </c>
      <c r="N39" s="94" t="str">
        <f t="shared" si="14"/>
        <v>nicht deklariert</v>
      </c>
      <c r="O39" s="94" t="str">
        <f t="shared" si="14"/>
        <v>nicht deklariert</v>
      </c>
      <c r="P39" s="94" t="str">
        <f t="shared" si="14"/>
        <v>nicht deklariert</v>
      </c>
      <c r="Q39" s="68"/>
    </row>
    <row r="40" spans="1:17" x14ac:dyDescent="0.2">
      <c r="A40" s="68"/>
      <c r="B40" s="370"/>
      <c r="C40" s="316"/>
      <c r="D40" s="38" t="s">
        <v>20</v>
      </c>
      <c r="E40" s="321" t="str">
        <f>IF(O5="CORE14","Energy input for the operation of the building","Energieeinsatz für das Betreiben des Gebäudes")</f>
        <v>Energieeinsatz für das Betreiben des Gebäudes</v>
      </c>
      <c r="F40" s="322"/>
      <c r="G40" s="89">
        <f>'Projekt Betrieb'!C3</f>
        <v>15.040066914800001</v>
      </c>
      <c r="H40" s="89">
        <f>'Projekt Betrieb'!C4</f>
        <v>1.5050770177999999E-9</v>
      </c>
      <c r="I40" s="89">
        <f>'Projekt Betrieb'!C5</f>
        <v>1.8506765846E-3</v>
      </c>
      <c r="J40" s="89">
        <f>'Projekt Betrieb'!C6</f>
        <v>2.46530308E-2</v>
      </c>
      <c r="K40" s="89">
        <f>'Projekt Betrieb'!C7</f>
        <v>3.2163174843999999E-3</v>
      </c>
      <c r="L40" s="89">
        <f>'Projekt Betrieb'!C11</f>
        <v>205.2700828641</v>
      </c>
      <c r="M40" s="89">
        <f>'Projekt Betrieb'!C8</f>
        <v>298.02769299139999</v>
      </c>
      <c r="N40" s="89">
        <f t="shared" ref="N40:P40" si="15">N41+N42</f>
        <v>0</v>
      </c>
      <c r="O40" s="89">
        <f t="shared" si="15"/>
        <v>0</v>
      </c>
      <c r="P40" s="89">
        <f t="shared" si="15"/>
        <v>0</v>
      </c>
      <c r="Q40" s="68"/>
    </row>
    <row r="41" spans="1:17" s="75" customFormat="1" ht="12" customHeight="1" x14ac:dyDescent="0.15">
      <c r="A41" s="74"/>
      <c r="B41" s="370"/>
      <c r="C41" s="316"/>
      <c r="D41" s="40" t="s">
        <v>20</v>
      </c>
      <c r="E41" s="400" t="str">
        <f>IF(O5="CORE14","Electrical Energy for the operation of the building","Stromenergie für das Betreiben des Gebäudes")</f>
        <v>Stromenergie für das Betreiben des Gebäudes</v>
      </c>
      <c r="F41" s="401"/>
      <c r="G41" s="63"/>
      <c r="H41" s="63"/>
      <c r="I41" s="63"/>
      <c r="J41" s="63"/>
      <c r="K41" s="63"/>
      <c r="L41" s="63"/>
      <c r="M41" s="88"/>
      <c r="N41" s="66"/>
      <c r="O41" s="66"/>
      <c r="P41" s="66"/>
      <c r="Q41" s="74"/>
    </row>
    <row r="42" spans="1:17" s="75" customFormat="1" ht="12" customHeight="1" x14ac:dyDescent="0.15">
      <c r="A42" s="74"/>
      <c r="B42" s="370"/>
      <c r="C42" s="317"/>
      <c r="D42" s="40" t="s">
        <v>20</v>
      </c>
      <c r="E42" s="313" t="str">
        <f>IF(O5="CORE14","Heat Energy for the operation of the building","Wärme  für das Betreiben des Gebäudes")</f>
        <v>Wärme  für das Betreiben des Gebäudes</v>
      </c>
      <c r="F42" s="314"/>
      <c r="G42" s="63"/>
      <c r="H42" s="63"/>
      <c r="I42" s="63"/>
      <c r="J42" s="63"/>
      <c r="K42" s="63"/>
      <c r="L42" s="63"/>
      <c r="M42" s="88"/>
      <c r="N42" s="66"/>
      <c r="O42" s="66"/>
      <c r="P42" s="66"/>
      <c r="Q42" s="74"/>
    </row>
    <row r="43" spans="1:17" ht="16" thickBot="1" x14ac:dyDescent="0.25">
      <c r="A43" s="68"/>
      <c r="B43" s="370"/>
      <c r="C43" s="318"/>
      <c r="D43" s="41" t="s">
        <v>28</v>
      </c>
      <c r="E43" s="345" t="str">
        <f>IF(O5="CORE14","Use of water for operating the building","Wassereinsatz für das Betreiben des Gebäudes")</f>
        <v>Wassereinsatz für das Betreiben des Gebäudes</v>
      </c>
      <c r="F43" s="346"/>
      <c r="G43" s="94" t="str">
        <f t="shared" ref="G43:P45" si="16">IF($O$5="CORE14","undeclared","nicht deklariert")</f>
        <v>nicht deklariert</v>
      </c>
      <c r="H43" s="94" t="str">
        <f t="shared" si="16"/>
        <v>nicht deklariert</v>
      </c>
      <c r="I43" s="94" t="str">
        <f t="shared" si="16"/>
        <v>nicht deklariert</v>
      </c>
      <c r="J43" s="94" t="str">
        <f t="shared" si="16"/>
        <v>nicht deklariert</v>
      </c>
      <c r="K43" s="94" t="str">
        <f t="shared" si="16"/>
        <v>nicht deklariert</v>
      </c>
      <c r="L43" s="94" t="str">
        <f t="shared" si="16"/>
        <v>nicht deklariert</v>
      </c>
      <c r="M43" s="94" t="str">
        <f t="shared" si="16"/>
        <v>nicht deklariert</v>
      </c>
      <c r="N43" s="94" t="str">
        <f t="shared" si="16"/>
        <v>nicht deklariert</v>
      </c>
      <c r="O43" s="94" t="str">
        <f t="shared" si="16"/>
        <v>nicht deklariert</v>
      </c>
      <c r="P43" s="94" t="str">
        <f t="shared" si="16"/>
        <v>nicht deklariert</v>
      </c>
      <c r="Q43" s="68"/>
    </row>
    <row r="44" spans="1:17" ht="16" thickTop="1" x14ac:dyDescent="0.2">
      <c r="A44" s="68"/>
      <c r="B44" s="370"/>
      <c r="C44" s="397" t="str">
        <f>IF(O5="CORE14","Disposal","Deponierung")</f>
        <v>Deponierung</v>
      </c>
      <c r="D44" s="42" t="s">
        <v>29</v>
      </c>
      <c r="E44" s="301" t="str">
        <f>IF(O5="CORE14","Dismantling, demolition","Rückbau, Abriss")</f>
        <v>Rückbau, Abriss</v>
      </c>
      <c r="F44" s="302"/>
      <c r="G44" s="35" t="str">
        <f t="shared" si="16"/>
        <v>nicht deklariert</v>
      </c>
      <c r="H44" s="35" t="str">
        <f t="shared" si="16"/>
        <v>nicht deklariert</v>
      </c>
      <c r="I44" s="35" t="str">
        <f t="shared" si="16"/>
        <v>nicht deklariert</v>
      </c>
      <c r="J44" s="35" t="str">
        <f t="shared" si="16"/>
        <v>nicht deklariert</v>
      </c>
      <c r="K44" s="35" t="str">
        <f t="shared" si="16"/>
        <v>nicht deklariert</v>
      </c>
      <c r="L44" s="35" t="str">
        <f t="shared" si="16"/>
        <v>nicht deklariert</v>
      </c>
      <c r="M44" s="35" t="str">
        <f t="shared" si="16"/>
        <v>nicht deklariert</v>
      </c>
      <c r="N44" s="35" t="str">
        <f t="shared" si="16"/>
        <v>nicht deklariert</v>
      </c>
      <c r="O44" s="35" t="str">
        <f t="shared" si="16"/>
        <v>nicht deklariert</v>
      </c>
      <c r="P44" s="35" t="str">
        <f t="shared" si="16"/>
        <v>nicht deklariert</v>
      </c>
      <c r="Q44" s="68"/>
    </row>
    <row r="45" spans="1:17" x14ac:dyDescent="0.2">
      <c r="A45" s="68"/>
      <c r="B45" s="370"/>
      <c r="C45" s="398"/>
      <c r="D45" s="43" t="s">
        <v>30</v>
      </c>
      <c r="E45" s="303" t="str">
        <f>IF(O5="CORE14","Transport for waste treatment","Transport zur Abfallbehandlung")</f>
        <v>Transport zur Abfallbehandlung</v>
      </c>
      <c r="F45" s="304"/>
      <c r="G45" s="94" t="str">
        <f t="shared" si="16"/>
        <v>nicht deklariert</v>
      </c>
      <c r="H45" s="94" t="str">
        <f t="shared" si="16"/>
        <v>nicht deklariert</v>
      </c>
      <c r="I45" s="94" t="str">
        <f t="shared" si="16"/>
        <v>nicht deklariert</v>
      </c>
      <c r="J45" s="94" t="str">
        <f t="shared" si="16"/>
        <v>nicht deklariert</v>
      </c>
      <c r="K45" s="94" t="str">
        <f t="shared" si="16"/>
        <v>nicht deklariert</v>
      </c>
      <c r="L45" s="94" t="str">
        <f t="shared" si="16"/>
        <v>nicht deklariert</v>
      </c>
      <c r="M45" s="94" t="str">
        <f t="shared" si="16"/>
        <v>nicht deklariert</v>
      </c>
      <c r="N45" s="94" t="str">
        <f t="shared" si="16"/>
        <v>nicht deklariert</v>
      </c>
      <c r="O45" s="94" t="str">
        <f t="shared" si="16"/>
        <v>nicht deklariert</v>
      </c>
      <c r="P45" s="94" t="str">
        <f t="shared" si="16"/>
        <v>nicht deklariert</v>
      </c>
      <c r="Q45" s="68"/>
    </row>
    <row r="46" spans="1:17" x14ac:dyDescent="0.2">
      <c r="A46" s="68"/>
      <c r="B46" s="370"/>
      <c r="C46" s="398"/>
      <c r="D46" s="43" t="s">
        <v>17</v>
      </c>
      <c r="E46" s="396" t="str">
        <f>IF(O5="CORE14","Waste treatment for reuse, recovery and / or recycling","Abfallbehandlung zur Wiederverwendung, Rückgewinnung und/ oder zum Recycling")</f>
        <v>Abfallbehandlung zur Wiederverwendung, Rückgewinnung und/ oder zum Recycling</v>
      </c>
      <c r="F46" s="304"/>
      <c r="G46" s="360">
        <f>'Projekt Herstellung'!N121</f>
        <v>-1.0627243135752877</v>
      </c>
      <c r="H46" s="360">
        <f>'Projekt Herstellung'!N122</f>
        <v>-2.8082308157760294E-7</v>
      </c>
      <c r="I46" s="360">
        <f>'Projekt Herstellung'!N123</f>
        <v>-5.748257233328533E-4</v>
      </c>
      <c r="J46" s="360">
        <f>'Projekt Herstellung'!N124</f>
        <v>-8.9188199195282883E-3</v>
      </c>
      <c r="K46" s="360">
        <f>'Projekt Herstellung'!N125</f>
        <v>-7.5004425113671901E-4</v>
      </c>
      <c r="L46" s="360">
        <f>'Projekt Herstellung'!N129</f>
        <v>-88.74754553901127</v>
      </c>
      <c r="M46" s="363">
        <f>'Projekt Herstellung'!N126</f>
        <v>-109.99260996547804</v>
      </c>
      <c r="N46" s="357"/>
      <c r="O46" s="357"/>
      <c r="P46" s="357"/>
      <c r="Q46" s="68"/>
    </row>
    <row r="47" spans="1:17" ht="16" thickBot="1" x14ac:dyDescent="0.25">
      <c r="A47" s="68"/>
      <c r="B47" s="370"/>
      <c r="C47" s="399"/>
      <c r="D47" s="44" t="s">
        <v>18</v>
      </c>
      <c r="E47" s="374" t="str">
        <f>IF(O5="CORE14","Disposal","Deponierung")</f>
        <v>Deponierung</v>
      </c>
      <c r="F47" s="375"/>
      <c r="G47" s="361"/>
      <c r="H47" s="361"/>
      <c r="I47" s="361"/>
      <c r="J47" s="361"/>
      <c r="K47" s="361"/>
      <c r="L47" s="361"/>
      <c r="M47" s="364"/>
      <c r="N47" s="358"/>
      <c r="O47" s="358"/>
      <c r="P47" s="358"/>
      <c r="Q47" s="68"/>
    </row>
    <row r="48" spans="1:17" ht="37.5" customHeight="1" thickTop="1" thickBot="1" x14ac:dyDescent="0.25">
      <c r="A48" s="68"/>
      <c r="B48" s="370"/>
      <c r="C48" s="297" t="str">
        <f>IF(O5="CORE14","Credits and charges outside the System boundary","Gutschriften und Lasten außerhalb der Systemgrenze")</f>
        <v>Gutschriften und Lasten außerhalb der Systemgrenze</v>
      </c>
      <c r="D48" s="299" t="s">
        <v>19</v>
      </c>
      <c r="E48" s="392" t="str">
        <f>IF(O5="CORE14","Credits and charges outside the System boundary","Gutschriften und Lasten außerhalb der Systemgrenze")</f>
        <v>Gutschriften und Lasten außerhalb der Systemgrenze</v>
      </c>
      <c r="F48" s="393"/>
      <c r="G48" s="362"/>
      <c r="H48" s="362"/>
      <c r="I48" s="362"/>
      <c r="J48" s="362"/>
      <c r="K48" s="362"/>
      <c r="L48" s="362"/>
      <c r="M48" s="365"/>
      <c r="N48" s="359"/>
      <c r="O48" s="359"/>
      <c r="P48" s="359"/>
      <c r="Q48" s="68"/>
    </row>
    <row r="49" spans="1:17" ht="37.5" customHeight="1" thickBot="1" x14ac:dyDescent="0.25">
      <c r="A49" s="68"/>
      <c r="B49" s="370"/>
      <c r="C49" s="298"/>
      <c r="D49" s="300"/>
      <c r="E49" s="394" t="str">
        <f>IF(O5="CORE14","Credits Photovoltaic (20 years)","Gutschriften Strom aus Photovoltaik (20 Jahre)")</f>
        <v>Gutschriften Strom aus Photovoltaik (20 Jahre)</v>
      </c>
      <c r="F49" s="395"/>
      <c r="G49" s="90">
        <f>'Projekt Betrieb'!C21</f>
        <v>-10.228740137999999</v>
      </c>
      <c r="H49" s="90">
        <f>'Projekt Betrieb'!C22</f>
        <v>-1.0236019419999999E-9</v>
      </c>
      <c r="I49" s="90">
        <f>'Projekt Betrieb'!C23</f>
        <v>-1.2586439921999999E-3</v>
      </c>
      <c r="J49" s="90">
        <f>'Projekt Betrieb'!C24</f>
        <v>-1.67665109E-2</v>
      </c>
      <c r="K49" s="90">
        <f>'Projekt Betrieb'!C25</f>
        <v>-2.1874155172000001E-3</v>
      </c>
      <c r="L49" s="90">
        <f>'Projekt Betrieb'!C29</f>
        <v>-139.60405546230001</v>
      </c>
      <c r="M49" s="91">
        <f>'Projekt Betrieb'!C26</f>
        <v>-178.0614031977</v>
      </c>
      <c r="N49" s="86"/>
      <c r="O49" s="86"/>
      <c r="P49" s="86"/>
      <c r="Q49" s="68"/>
    </row>
    <row r="50" spans="1:17" ht="52.5" customHeight="1" thickTop="1" thickBot="1" x14ac:dyDescent="0.25">
      <c r="A50" s="76"/>
      <c r="B50" s="370"/>
      <c r="C50" s="371" t="s">
        <v>31</v>
      </c>
      <c r="D50" s="372"/>
      <c r="E50" s="372"/>
      <c r="F50" s="373"/>
      <c r="G50" s="77">
        <f>G23+G38+G46</f>
        <v>-3.0841632043652871</v>
      </c>
      <c r="H50" s="77"/>
      <c r="I50" s="77"/>
      <c r="J50" s="77"/>
      <c r="K50" s="77"/>
      <c r="L50" s="77"/>
      <c r="M50" s="274">
        <f>IFERROR((G67+G69+G71+F66)*3.6/F55,"")</f>
        <v>26.440936475253562</v>
      </c>
      <c r="N50" s="77"/>
      <c r="O50" s="77"/>
      <c r="P50" s="77"/>
      <c r="Q50" s="68"/>
    </row>
    <row r="51" spans="1:17" ht="42" customHeight="1" thickTop="1" thickBot="1" x14ac:dyDescent="0.25">
      <c r="A51" s="68"/>
      <c r="F51" s="149"/>
      <c r="G51" s="150"/>
      <c r="H51" s="150"/>
      <c r="I51" s="150"/>
      <c r="J51" s="150"/>
      <c r="K51" s="150"/>
      <c r="Q51" s="68"/>
    </row>
    <row r="52" spans="1:17" ht="16" thickBot="1" x14ac:dyDescent="0.25">
      <c r="A52" s="68"/>
      <c r="B52" s="406" t="str">
        <f>IF(O5="CORE14","General Information","Allgemeine Informationen")</f>
        <v>Allgemeine Informationen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8"/>
      <c r="Q52" s="68"/>
    </row>
    <row r="53" spans="1:17" ht="19.5" customHeight="1" thickTop="1" x14ac:dyDescent="0.2">
      <c r="A53" s="68"/>
      <c r="B53" s="409" t="str">
        <f>IF(O5="CORE14","Energy-Related Area [m²]","Nettogrundfläche nach EnEV Ausweis [m²]")</f>
        <v>Nettogrundfläche nach EnEV Ausweis [m²]</v>
      </c>
      <c r="C53" s="410"/>
      <c r="D53" s="410"/>
      <c r="E53" s="410"/>
      <c r="F53" s="165">
        <v>782</v>
      </c>
      <c r="G53" s="411" t="str">
        <f>IF(O5="CORE14","Data base to be used","Zu verwendende Ökobau.dat version")</f>
        <v>Zu verwendende Ökobau.dat version</v>
      </c>
      <c r="H53" s="412"/>
      <c r="I53" s="413"/>
      <c r="J53" s="414" t="str">
        <f>IFERROR(VLOOKUP($Q$3,'Ökobau.dat-Version'!A2:B102,2,FALSE),"")</f>
        <v>V2016-I und neuer</v>
      </c>
      <c r="K53" s="415"/>
      <c r="L53" s="415"/>
      <c r="M53" s="415"/>
      <c r="N53" s="415"/>
      <c r="O53" s="415"/>
      <c r="P53" s="416"/>
      <c r="Q53" s="68"/>
    </row>
    <row r="54" spans="1:17" ht="18" customHeight="1" x14ac:dyDescent="0.2">
      <c r="A54" s="68"/>
      <c r="B54" s="417" t="str">
        <f>IF(O5="CORE14","Calculation unit","Berechnungseinheit")</f>
        <v>Berechnungseinheit</v>
      </c>
      <c r="C54" s="418"/>
      <c r="D54" s="418"/>
      <c r="E54" s="418"/>
      <c r="F54" s="45" t="s">
        <v>263</v>
      </c>
      <c r="G54" s="419" t="s">
        <v>32</v>
      </c>
      <c r="H54" s="420"/>
      <c r="I54" s="420"/>
      <c r="J54" s="420"/>
      <c r="K54" s="420"/>
      <c r="L54" s="420"/>
      <c r="M54" s="420"/>
      <c r="N54" s="420"/>
      <c r="O54" s="420"/>
      <c r="P54" s="421"/>
      <c r="Q54" s="68"/>
    </row>
    <row r="55" spans="1:17" ht="28.5" customHeight="1" x14ac:dyDescent="0.2">
      <c r="A55" s="68"/>
      <c r="B55" s="402" t="str">
        <f>IF(F54="NRF(R) nach DIN 277 [m²]","NRF(R) (ehemalige NGFa) nach DIN 277 [m²] abzüglich der Fahrgassen der TG",F54)</f>
        <v>NRF(R) (ehemalige NGFa) nach DIN 277 [m²] abzüglich der Fahrgassen der TG</v>
      </c>
      <c r="C55" s="403"/>
      <c r="D55" s="403"/>
      <c r="E55" s="404"/>
      <c r="F55" s="62">
        <v>1180.17</v>
      </c>
      <c r="G55" s="382" t="s">
        <v>33</v>
      </c>
      <c r="H55" s="405"/>
      <c r="I55" s="405"/>
      <c r="J55" s="376" t="s">
        <v>267</v>
      </c>
      <c r="K55" s="376"/>
      <c r="L55" s="376"/>
      <c r="M55" s="376"/>
      <c r="N55" s="376"/>
      <c r="O55" s="376"/>
      <c r="P55" s="377"/>
      <c r="Q55" s="68"/>
    </row>
    <row r="56" spans="1:17" ht="15" customHeight="1" x14ac:dyDescent="0.2">
      <c r="A56" s="68"/>
      <c r="B56" s="323" t="s">
        <v>34</v>
      </c>
      <c r="C56" s="324"/>
      <c r="D56" s="324"/>
      <c r="E56" s="324"/>
      <c r="F56" s="64"/>
      <c r="G56" s="382" t="s">
        <v>35</v>
      </c>
      <c r="H56" s="383"/>
      <c r="I56" s="384"/>
      <c r="J56" s="376" t="s">
        <v>267</v>
      </c>
      <c r="K56" s="376"/>
      <c r="L56" s="376"/>
      <c r="M56" s="376"/>
      <c r="N56" s="376"/>
      <c r="O56" s="376"/>
      <c r="P56" s="377"/>
      <c r="Q56" s="68"/>
    </row>
    <row r="57" spans="1:17" x14ac:dyDescent="0.2">
      <c r="A57" s="68"/>
      <c r="B57" s="323" t="s">
        <v>36</v>
      </c>
      <c r="C57" s="324"/>
      <c r="D57" s="324"/>
      <c r="E57" s="324"/>
      <c r="F57" s="64"/>
      <c r="G57" s="380" t="s">
        <v>37</v>
      </c>
      <c r="H57" s="381"/>
      <c r="I57" s="381"/>
      <c r="J57" s="381"/>
      <c r="K57" s="381"/>
      <c r="L57" s="381"/>
      <c r="M57" s="381"/>
      <c r="N57" s="381"/>
      <c r="O57" s="381"/>
      <c r="P57" s="431"/>
      <c r="Q57" s="68"/>
    </row>
    <row r="58" spans="1:17" ht="15" customHeight="1" x14ac:dyDescent="0.2">
      <c r="A58" s="68"/>
      <c r="B58" s="323" t="s">
        <v>38</v>
      </c>
      <c r="C58" s="324"/>
      <c r="D58" s="324"/>
      <c r="E58" s="324"/>
      <c r="F58" s="87"/>
      <c r="G58" s="382" t="s">
        <v>39</v>
      </c>
      <c r="H58" s="405"/>
      <c r="I58" s="405"/>
      <c r="J58" s="376" t="s">
        <v>268</v>
      </c>
      <c r="K58" s="376"/>
      <c r="L58" s="376"/>
      <c r="M58" s="376"/>
      <c r="N58" s="376"/>
      <c r="O58" s="376"/>
      <c r="P58" s="377"/>
      <c r="Q58" s="68"/>
    </row>
    <row r="59" spans="1:17" ht="15" customHeight="1" x14ac:dyDescent="0.2">
      <c r="A59" s="68"/>
      <c r="B59" s="323" t="s">
        <v>40</v>
      </c>
      <c r="C59" s="324"/>
      <c r="D59" s="324"/>
      <c r="E59" s="324"/>
      <c r="F59" s="65"/>
      <c r="G59" s="382" t="s">
        <v>35</v>
      </c>
      <c r="H59" s="405"/>
      <c r="I59" s="405"/>
      <c r="J59" s="376" t="s">
        <v>269</v>
      </c>
      <c r="K59" s="376"/>
      <c r="L59" s="376"/>
      <c r="M59" s="376"/>
      <c r="N59" s="376"/>
      <c r="O59" s="376"/>
      <c r="P59" s="377"/>
      <c r="Q59" s="68"/>
    </row>
    <row r="60" spans="1:17" x14ac:dyDescent="0.2">
      <c r="A60" s="68"/>
      <c r="B60" s="323" t="s">
        <v>41</v>
      </c>
      <c r="C60" s="324"/>
      <c r="D60" s="324"/>
      <c r="E60" s="324"/>
      <c r="F60" s="64"/>
      <c r="G60" s="380" t="s">
        <v>42</v>
      </c>
      <c r="H60" s="381"/>
      <c r="I60" s="381"/>
      <c r="J60" s="381"/>
      <c r="K60" s="381"/>
      <c r="L60" s="381"/>
      <c r="M60" s="381"/>
      <c r="N60" s="381"/>
      <c r="O60" s="381"/>
      <c r="P60" s="431"/>
      <c r="Q60" s="68"/>
    </row>
    <row r="61" spans="1:17" ht="16" thickBot="1" x14ac:dyDescent="0.25">
      <c r="A61" s="68"/>
      <c r="B61" s="323" t="s">
        <v>43</v>
      </c>
      <c r="C61" s="324"/>
      <c r="D61" s="324"/>
      <c r="E61" s="324"/>
      <c r="F61" s="163"/>
      <c r="G61" s="481" t="s">
        <v>44</v>
      </c>
      <c r="H61" s="482"/>
      <c r="I61" s="482"/>
      <c r="J61" s="378">
        <v>2014</v>
      </c>
      <c r="K61" s="378"/>
      <c r="L61" s="378"/>
      <c r="M61" s="378"/>
      <c r="N61" s="378"/>
      <c r="O61" s="378"/>
      <c r="P61" s="379"/>
      <c r="Q61" s="68"/>
    </row>
    <row r="62" spans="1:17" ht="17" thickTop="1" thickBot="1" x14ac:dyDescent="0.25">
      <c r="A62" s="68"/>
      <c r="B62" s="166" t="str">
        <f>IF(O5="CORE14","Information on the final energy demand of the projected building","Angaben zum Endenergiebedarf des Gebäudes")</f>
        <v>Angaben zum Endenergiebedarf des Gebäudes</v>
      </c>
      <c r="C62" s="167"/>
      <c r="D62" s="167"/>
      <c r="E62" s="167"/>
      <c r="F62" s="167"/>
      <c r="G62" s="168"/>
      <c r="H62" s="168"/>
      <c r="I62" s="168"/>
      <c r="J62" s="168"/>
      <c r="K62" s="168"/>
      <c r="L62" s="168"/>
      <c r="M62" s="169"/>
      <c r="N62" s="170"/>
      <c r="O62" s="170"/>
      <c r="P62" s="171"/>
      <c r="Q62" s="68"/>
    </row>
    <row r="63" spans="1:17" ht="16" thickTop="1" x14ac:dyDescent="0.2">
      <c r="A63" s="68"/>
      <c r="B63" s="325" t="str">
        <f>IF(O5="CORE14","Calculation unit (according to LCEM)","Berechnungseinheit (nach EnEV)")</f>
        <v>Berechnungseinheit (nach EnEV)</v>
      </c>
      <c r="C63" s="326"/>
      <c r="D63" s="326"/>
      <c r="E63" s="327"/>
      <c r="F63" s="172" t="s">
        <v>266</v>
      </c>
      <c r="G63" s="480"/>
      <c r="H63" s="331"/>
      <c r="I63" s="331"/>
      <c r="J63" s="331"/>
      <c r="K63" s="331"/>
      <c r="L63" s="331"/>
      <c r="M63" s="331"/>
      <c r="N63" s="331"/>
      <c r="O63" s="331"/>
      <c r="P63" s="332"/>
      <c r="Q63" s="68"/>
    </row>
    <row r="64" spans="1:17" ht="30.75" customHeight="1" x14ac:dyDescent="0.2">
      <c r="B64" s="448" t="str">
        <f>IF(O5="CORE14","Electricity demand according to energy report","Strombedarf-Endenergie gemäß EnEV (abzüglich Endenergiebedarf des Wärmeerzeugers)")</f>
        <v>Strombedarf-Endenergie gemäß EnEV (abzüglich Endenergiebedarf des Wärmeerzeugers)</v>
      </c>
      <c r="C64" s="449"/>
      <c r="D64" s="449"/>
      <c r="E64" s="450"/>
      <c r="F64" s="290">
        <f>5960+2011+8532-5240</f>
        <v>11263</v>
      </c>
      <c r="G64" s="422"/>
      <c r="H64" s="423"/>
      <c r="I64" s="423"/>
      <c r="J64" s="423"/>
      <c r="K64" s="423"/>
      <c r="L64" s="423"/>
      <c r="M64" s="423"/>
      <c r="N64" s="423"/>
      <c r="O64" s="423"/>
      <c r="P64" s="424"/>
    </row>
    <row r="65" spans="1:17" ht="16" thickBot="1" x14ac:dyDescent="0.25">
      <c r="B65" s="434" t="str">
        <f>IF(O5="CORE14","Heat demand","Endenergiebedarf des Wärmeerzeugers")</f>
        <v>Endenergiebedarf des Wärmeerzeugers</v>
      </c>
      <c r="C65" s="435"/>
      <c r="D65" s="435"/>
      <c r="E65" s="436"/>
      <c r="F65" s="137">
        <v>5240</v>
      </c>
      <c r="G65" s="425"/>
      <c r="H65" s="426"/>
      <c r="I65" s="426"/>
      <c r="J65" s="426"/>
      <c r="K65" s="426"/>
      <c r="L65" s="426"/>
      <c r="M65" s="426"/>
      <c r="N65" s="426"/>
      <c r="O65" s="426"/>
      <c r="P65" s="427"/>
    </row>
    <row r="66" spans="1:17" ht="33.75" customHeight="1" thickTop="1" x14ac:dyDescent="0.2">
      <c r="B66" s="328" t="s">
        <v>191</v>
      </c>
      <c r="C66" s="329"/>
      <c r="D66" s="329"/>
      <c r="E66" s="330"/>
      <c r="F66" s="231">
        <v>0</v>
      </c>
      <c r="G66" s="230">
        <f>IF(F66&lt;&gt;"",F66,0)</f>
        <v>0</v>
      </c>
      <c r="H66" s="222"/>
      <c r="I66" s="222"/>
      <c r="J66" s="222"/>
      <c r="K66" s="222"/>
      <c r="L66" s="222"/>
      <c r="M66" s="222"/>
      <c r="N66" s="222"/>
      <c r="O66" s="222"/>
      <c r="P66" s="223"/>
    </row>
    <row r="67" spans="1:17" ht="48.75" customHeight="1" x14ac:dyDescent="0.2">
      <c r="B67" s="442" t="s">
        <v>185</v>
      </c>
      <c r="C67" s="443"/>
      <c r="D67" s="443"/>
      <c r="E67" s="444"/>
      <c r="F67" s="113">
        <v>5</v>
      </c>
      <c r="G67" s="428">
        <f>IF(OR(F67="",F68=""),0,F68*(F67-1))</f>
        <v>8668</v>
      </c>
      <c r="H67" s="224"/>
      <c r="I67" s="224"/>
      <c r="J67" s="224"/>
      <c r="K67" s="224"/>
      <c r="L67" s="224"/>
      <c r="M67" s="224"/>
      <c r="N67" s="224"/>
      <c r="O67" s="224"/>
      <c r="P67" s="225"/>
    </row>
    <row r="68" spans="1:17" ht="48.75" customHeight="1" x14ac:dyDescent="0.2">
      <c r="B68" s="442" t="s">
        <v>186</v>
      </c>
      <c r="C68" s="443"/>
      <c r="D68" s="443"/>
      <c r="E68" s="444"/>
      <c r="F68" s="113">
        <f>1443+724</f>
        <v>2167</v>
      </c>
      <c r="G68" s="429"/>
      <c r="H68" s="226"/>
      <c r="I68" s="226"/>
      <c r="J68" s="226"/>
      <c r="K68" s="226"/>
      <c r="L68" s="226"/>
      <c r="M68" s="226"/>
      <c r="N68" s="226"/>
      <c r="O68" s="226"/>
      <c r="P68" s="227"/>
    </row>
    <row r="69" spans="1:17" ht="48.75" customHeight="1" x14ac:dyDescent="0.2">
      <c r="B69" s="439" t="s">
        <v>187</v>
      </c>
      <c r="C69" s="440"/>
      <c r="D69" s="440"/>
      <c r="E69" s="441"/>
      <c r="F69" s="113"/>
      <c r="G69" s="428">
        <f>IF(OR(F69="",F70=""),0,F70*(F69-1))</f>
        <v>0</v>
      </c>
      <c r="H69" s="224"/>
      <c r="I69" s="224"/>
      <c r="J69" s="224"/>
      <c r="K69" s="224"/>
      <c r="L69" s="224"/>
      <c r="M69" s="224"/>
      <c r="N69" s="224"/>
      <c r="O69" s="224"/>
      <c r="P69" s="225"/>
    </row>
    <row r="70" spans="1:17" ht="48.75" customHeight="1" x14ac:dyDescent="0.2">
      <c r="B70" s="439" t="s">
        <v>188</v>
      </c>
      <c r="C70" s="440"/>
      <c r="D70" s="440"/>
      <c r="E70" s="441"/>
      <c r="F70" s="113"/>
      <c r="G70" s="429"/>
      <c r="H70" s="226"/>
      <c r="I70" s="226"/>
      <c r="J70" s="226"/>
      <c r="K70" s="226"/>
      <c r="L70" s="226"/>
      <c r="M70" s="226"/>
      <c r="N70" s="226"/>
      <c r="O70" s="226"/>
      <c r="P70" s="227"/>
    </row>
    <row r="71" spans="1:17" ht="48.75" customHeight="1" x14ac:dyDescent="0.2">
      <c r="B71" s="442" t="s">
        <v>189</v>
      </c>
      <c r="C71" s="443"/>
      <c r="D71" s="443"/>
      <c r="E71" s="444"/>
      <c r="F71" s="113"/>
      <c r="G71" s="428">
        <f>IF(OR(F71="",F72=""),0,F72*(F71-1))</f>
        <v>0</v>
      </c>
      <c r="H71" s="224"/>
      <c r="I71" s="224"/>
      <c r="J71" s="224"/>
      <c r="K71" s="224"/>
      <c r="L71" s="224"/>
      <c r="M71" s="224"/>
      <c r="N71" s="224"/>
      <c r="O71" s="224"/>
      <c r="P71" s="225"/>
    </row>
    <row r="72" spans="1:17" ht="48.75" customHeight="1" thickBot="1" x14ac:dyDescent="0.25">
      <c r="B72" s="442" t="s">
        <v>190</v>
      </c>
      <c r="C72" s="443"/>
      <c r="D72" s="443"/>
      <c r="E72" s="444"/>
      <c r="F72" s="113"/>
      <c r="G72" s="430"/>
      <c r="H72" s="228"/>
      <c r="I72" s="228"/>
      <c r="J72" s="228"/>
      <c r="K72" s="228"/>
      <c r="L72" s="228"/>
      <c r="M72" s="228"/>
      <c r="N72" s="228"/>
      <c r="O72" s="228"/>
      <c r="P72" s="229"/>
    </row>
    <row r="73" spans="1:17" ht="17" thickTop="1" thickBot="1" x14ac:dyDescent="0.25">
      <c r="B73" s="166" t="str">
        <f>IF(O5="CORE14","Information on the final energy demand of the reference building","Angaben zum Endenergiebedarf des Referenz-Gebäudes")</f>
        <v>Angaben zum Endenergiebedarf des Referenz-Gebäudes</v>
      </c>
      <c r="C73" s="167"/>
      <c r="D73" s="167"/>
      <c r="E73" s="167"/>
      <c r="F73" s="167"/>
      <c r="G73" s="168"/>
      <c r="H73" s="168"/>
      <c r="I73" s="168"/>
      <c r="J73" s="168"/>
      <c r="K73" s="168"/>
      <c r="L73" s="168"/>
      <c r="M73" s="169"/>
      <c r="N73" s="170"/>
      <c r="O73" s="170"/>
      <c r="P73" s="171"/>
    </row>
    <row r="74" spans="1:17" ht="16" thickTop="1" x14ac:dyDescent="0.2">
      <c r="A74" s="68"/>
      <c r="B74" s="325" t="str">
        <f>IF(O5="CORE14","Calculation unit (according to LCEM)","Berechnungseinheit (nach EnEV)")</f>
        <v>Berechnungseinheit (nach EnEV)</v>
      </c>
      <c r="C74" s="326"/>
      <c r="D74" s="326"/>
      <c r="E74" s="327"/>
      <c r="F74" s="173" t="s">
        <v>266</v>
      </c>
      <c r="G74" s="331"/>
      <c r="H74" s="331"/>
      <c r="I74" s="331"/>
      <c r="J74" s="331"/>
      <c r="K74" s="331"/>
      <c r="L74" s="331"/>
      <c r="M74" s="331"/>
      <c r="N74" s="331"/>
      <c r="O74" s="331"/>
      <c r="P74" s="332"/>
      <c r="Q74" s="68"/>
    </row>
    <row r="75" spans="1:17" ht="29.25" customHeight="1" x14ac:dyDescent="0.2">
      <c r="A75" s="68"/>
      <c r="B75" s="483" t="str">
        <f>IF(O5="CORE14","Electricity demand","Strombedarf-Endenergie gemäß EnEV(abzüglich Endenergiebedarf des Wärmeerzeugers)")</f>
        <v>Strombedarf-Endenergie gemäß EnEV(abzüglich Endenergiebedarf des Wärmeerzeugers)</v>
      </c>
      <c r="C75" s="484"/>
      <c r="D75" s="484"/>
      <c r="E75" s="485"/>
      <c r="F75" s="291">
        <v>30357</v>
      </c>
      <c r="G75" s="423"/>
      <c r="H75" s="423"/>
      <c r="I75" s="423"/>
      <c r="J75" s="423"/>
      <c r="K75" s="423"/>
      <c r="L75" s="423"/>
      <c r="M75" s="423"/>
      <c r="N75" s="423"/>
      <c r="O75" s="423"/>
      <c r="P75" s="424"/>
      <c r="Q75" s="68"/>
    </row>
    <row r="76" spans="1:17" x14ac:dyDescent="0.2">
      <c r="A76" s="68"/>
      <c r="B76" s="445" t="str">
        <f>IF(O5="CORE14","Heat demand","Endenergiebedarf des Wärmeerzeugers")</f>
        <v>Endenergiebedarf des Wärmeerzeugers</v>
      </c>
      <c r="C76" s="446"/>
      <c r="D76" s="446"/>
      <c r="E76" s="447"/>
      <c r="F76" s="291">
        <v>73104</v>
      </c>
      <c r="G76" s="426"/>
      <c r="H76" s="426"/>
      <c r="I76" s="426"/>
      <c r="J76" s="426"/>
      <c r="K76" s="426"/>
      <c r="L76" s="426"/>
      <c r="M76" s="426"/>
      <c r="N76" s="426"/>
      <c r="O76" s="426"/>
      <c r="P76" s="427"/>
      <c r="Q76" s="68"/>
    </row>
    <row r="77" spans="1:17" s="68" customFormat="1" x14ac:dyDescent="0.2">
      <c r="B77" s="437" t="s">
        <v>45</v>
      </c>
      <c r="C77" s="438"/>
      <c r="D77" s="438"/>
      <c r="E77" s="438"/>
      <c r="F77" s="118"/>
      <c r="G77" s="474"/>
      <c r="H77" s="475"/>
      <c r="I77" s="475"/>
      <c r="J77" s="475"/>
      <c r="K77" s="475"/>
      <c r="L77" s="475"/>
      <c r="M77" s="475"/>
      <c r="N77" s="475"/>
      <c r="O77" s="475"/>
      <c r="P77" s="476"/>
    </row>
    <row r="78" spans="1:17" s="68" customFormat="1" ht="16" thickBot="1" x14ac:dyDescent="0.25">
      <c r="B78" s="432" t="s">
        <v>46</v>
      </c>
      <c r="C78" s="433"/>
      <c r="D78" s="433"/>
      <c r="E78" s="433"/>
      <c r="F78" s="157"/>
      <c r="G78" s="477"/>
      <c r="H78" s="478"/>
      <c r="I78" s="478"/>
      <c r="J78" s="478"/>
      <c r="K78" s="478"/>
      <c r="L78" s="478"/>
      <c r="M78" s="478"/>
      <c r="N78" s="478"/>
      <c r="O78" s="478"/>
      <c r="P78" s="479"/>
    </row>
    <row r="79" spans="1:17" ht="17" thickTop="1" thickBot="1" x14ac:dyDescent="0.25">
      <c r="B79" s="166" t="s">
        <v>177</v>
      </c>
      <c r="C79" s="167"/>
      <c r="D79" s="167"/>
      <c r="E79" s="167"/>
      <c r="F79" s="167"/>
      <c r="G79" s="168"/>
      <c r="H79" s="168"/>
      <c r="I79" s="168"/>
      <c r="J79" s="168"/>
      <c r="K79" s="168"/>
      <c r="L79" s="168"/>
      <c r="M79" s="169"/>
      <c r="N79" s="170"/>
      <c r="O79" s="170"/>
      <c r="P79" s="171"/>
    </row>
    <row r="80" spans="1:17" ht="17" thickTop="1" thickBot="1" x14ac:dyDescent="0.25">
      <c r="A80" s="68"/>
      <c r="B80" s="325" t="s">
        <v>181</v>
      </c>
      <c r="C80" s="326"/>
      <c r="D80" s="326"/>
      <c r="E80" s="327"/>
      <c r="F80" s="218" t="s">
        <v>264</v>
      </c>
      <c r="G80" s="331"/>
      <c r="H80" s="331"/>
      <c r="I80" s="331"/>
      <c r="J80" s="331"/>
      <c r="K80" s="331"/>
      <c r="L80" s="331"/>
      <c r="M80" s="331"/>
      <c r="N80" s="331"/>
      <c r="O80" s="331"/>
      <c r="P80" s="332"/>
      <c r="Q80" s="68"/>
    </row>
    <row r="81" spans="1:17" ht="35.25" customHeight="1" thickTop="1" thickBot="1" x14ac:dyDescent="0.25">
      <c r="A81" s="68"/>
      <c r="B81" s="451" t="str">
        <f>IF(RIGHT(O5,2)="18","Gemäß Kriterium TEC1.4, Indikator 1 umfangreiche passive Maßnahmen angerechnet ","")</f>
        <v xml:space="preserve">Gemäß Kriterium TEC1.4, Indikator 1 umfangreiche passive Maßnahmen angerechnet </v>
      </c>
      <c r="C81" s="452"/>
      <c r="D81" s="452"/>
      <c r="E81" s="453"/>
      <c r="F81" s="217" t="s">
        <v>265</v>
      </c>
      <c r="G81" s="213"/>
      <c r="H81" s="213"/>
      <c r="I81" s="213"/>
      <c r="J81" s="213"/>
      <c r="K81" s="213"/>
      <c r="L81" s="213"/>
      <c r="M81" s="213"/>
      <c r="N81" s="213"/>
      <c r="O81" s="213"/>
      <c r="P81" s="214"/>
      <c r="Q81" s="68"/>
    </row>
    <row r="82" spans="1:17" ht="17" thickTop="1" thickBot="1" x14ac:dyDescent="0.25">
      <c r="A82" s="68"/>
      <c r="B82" s="325" t="s">
        <v>178</v>
      </c>
      <c r="C82" s="326"/>
      <c r="D82" s="326"/>
      <c r="E82" s="327"/>
      <c r="F82" s="216">
        <f>IFERROR(IF(AND(F80="Vereinfachtes Verfahren",RIGHT(O5,2)="18",F81="Ja"),VLOOKUP(Q3,Sicherheitszuschlag!A2:C102,3,FALSE),IF(F80="Vereinfachtes Verfahren",VLOOKUP(Q3,Sicherheitszuschlag!A2:C102,2,FALSE),"")),"")</f>
        <v>0.1</v>
      </c>
      <c r="G82" s="331"/>
      <c r="H82" s="331"/>
      <c r="I82" s="331"/>
      <c r="J82" s="331"/>
      <c r="K82" s="331"/>
      <c r="L82" s="331"/>
      <c r="M82" s="331"/>
      <c r="N82" s="331"/>
      <c r="O82" s="331"/>
      <c r="P82" s="332"/>
      <c r="Q82" s="68"/>
    </row>
    <row r="83" spans="1:17" ht="17" thickTop="1" thickBot="1" x14ac:dyDescent="0.25">
      <c r="A83" s="68"/>
      <c r="B83" s="333" t="s">
        <v>179</v>
      </c>
      <c r="C83" s="334"/>
      <c r="D83" s="334"/>
      <c r="E83" s="335"/>
      <c r="F83" s="157" t="s">
        <v>265</v>
      </c>
      <c r="G83" s="336"/>
      <c r="H83" s="336"/>
      <c r="I83" s="336"/>
      <c r="J83" s="336"/>
      <c r="K83" s="336"/>
      <c r="L83" s="336"/>
      <c r="M83" s="336"/>
      <c r="N83" s="336"/>
      <c r="O83" s="336"/>
      <c r="P83" s="337"/>
      <c r="Q83" s="68"/>
    </row>
    <row r="84" spans="1:17" s="68" customFormat="1" x14ac:dyDescent="0.2">
      <c r="B84" s="112"/>
      <c r="C84" s="112"/>
      <c r="D84" s="112"/>
      <c r="E84" s="112"/>
      <c r="F84" s="78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1:17" ht="11.25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7" spans="1:17" x14ac:dyDescent="0.2">
      <c r="B87" s="80"/>
      <c r="C87" s="69" t="str">
        <f>IF(O5="CORE14","to be selected","ist auszuwählen")</f>
        <v>ist auszuwählen</v>
      </c>
    </row>
    <row r="88" spans="1:17" x14ac:dyDescent="0.2">
      <c r="B88" s="81"/>
      <c r="C88" s="69" t="str">
        <f>IF(O5="CORE14","to be entered","ist einzutragen")</f>
        <v>ist einzutragen</v>
      </c>
    </row>
    <row r="89" spans="1:17" x14ac:dyDescent="0.2">
      <c r="B89" s="82"/>
      <c r="C89" s="69" t="s">
        <v>47</v>
      </c>
    </row>
    <row r="90" spans="1:17" x14ac:dyDescent="0.2">
      <c r="B90" s="83"/>
      <c r="C90" s="69" t="s">
        <v>48</v>
      </c>
    </row>
    <row r="92" spans="1:17" hidden="1" outlineLevel="1" x14ac:dyDescent="0.2">
      <c r="F92" s="84" t="s">
        <v>49</v>
      </c>
      <c r="G92" s="85">
        <f>IFERROR(VLOOKUP(Q3,Use!A2:H101,2,FALSE),"")</f>
        <v>0.57899999999999996</v>
      </c>
      <c r="H92" s="85">
        <f>IFERROR(VLOOKUP(Q3,Use!A2:H101,3,FALSE),"")</f>
        <v>2.08E-12</v>
      </c>
      <c r="I92" s="85">
        <f>IFERROR(VLOOKUP(Q3,Use!A2:H101,4,FALSE),"")</f>
        <v>6.0699999999999998E-5</v>
      </c>
      <c r="J92" s="85">
        <f>IFERROR(VLOOKUP(Q3,Use!A2:H101,5,FALSE),"")</f>
        <v>8.7100000000000003E-4</v>
      </c>
      <c r="K92" s="85">
        <f>IFERROR(VLOOKUP(Q3,Use!A2:H101,6,FALSE),"")</f>
        <v>1.4200000000000001E-4</v>
      </c>
      <c r="L92" s="85">
        <f>IFERROR(VLOOKUP(Q3,Use!A2:H101,7,FALSE),"")</f>
        <v>7.3</v>
      </c>
      <c r="M92" s="85">
        <f>IFERROR(VLOOKUP(Q3,Use!A2:H101,8,FALSE),"")</f>
        <v>11.18</v>
      </c>
    </row>
    <row r="93" spans="1:17" hidden="1" outlineLevel="1" x14ac:dyDescent="0.2">
      <c r="F93" s="84" t="s">
        <v>50</v>
      </c>
      <c r="G93" s="85">
        <f>IFERROR(VLOOKUP(Q3,Use!J2:Q101,2,FALSE),"")</f>
        <v>0.23100000000000001</v>
      </c>
      <c r="H93" s="85">
        <f>IFERROR(VLOOKUP(Q3,Use!J2:Q101,3,FALSE),"")</f>
        <v>1.5699999999999999E-14</v>
      </c>
      <c r="I93" s="85">
        <f>IFERROR(VLOOKUP(Q3,Use!J2:Q101,4,FALSE),"")</f>
        <v>3.0300000000000001E-5</v>
      </c>
      <c r="J93" s="85">
        <f>IFERROR(VLOOKUP(Q3,Use!J2:Q101,5,FALSE),"")</f>
        <v>2.7E-4</v>
      </c>
      <c r="K93" s="85">
        <f>IFERROR(VLOOKUP(Q3,Use!J2:Q101,6,FALSE),"")</f>
        <v>2.65E-5</v>
      </c>
      <c r="L93" s="85">
        <f>IFERROR(VLOOKUP(Q3,Use!J2:Q101,7,FALSE),"")</f>
        <v>3.44</v>
      </c>
      <c r="M93" s="85">
        <f>IFERROR(VLOOKUP(Q3,Use!J2:Q101,8,FALSE),"")</f>
        <v>4.13</v>
      </c>
    </row>
    <row r="94" spans="1:17" hidden="1" outlineLevel="1" x14ac:dyDescent="0.2">
      <c r="F94" s="84" t="s">
        <v>51</v>
      </c>
      <c r="G94" s="85">
        <f>IFERROR(VLOOKUP(Q3,Use!S2:Z101,2,FALSE),"")</f>
        <v>0</v>
      </c>
      <c r="H94" s="85">
        <f>IFERROR(VLOOKUP(Q3,Use!S2:Z101,3,FALSE),"")</f>
        <v>0</v>
      </c>
      <c r="I94" s="85">
        <f>IFERROR(VLOOKUP(Q3,Use!S2:Z101,4,FALSE),"")</f>
        <v>0</v>
      </c>
      <c r="J94" s="85">
        <f>IFERROR(VLOOKUP(Q3,Use!S2:Z101,5,FALSE),"")</f>
        <v>0</v>
      </c>
      <c r="K94" s="85">
        <f>IFERROR(VLOOKUP(Q3,Use!S2:Z101,6,FALSE),"")</f>
        <v>0</v>
      </c>
      <c r="L94" s="85">
        <f>IFERROR(VLOOKUP(Q3,Use!S2:Z101,7,FALSE),"")</f>
        <v>0</v>
      </c>
      <c r="M94" s="85">
        <f>IFERROR(VLOOKUP(Q3,Use!S2:Z101,8,FALSE),"")</f>
        <v>0</v>
      </c>
    </row>
    <row r="95" spans="1:17" hidden="1" outlineLevel="1" x14ac:dyDescent="0.2">
      <c r="F95" s="84" t="s">
        <v>52</v>
      </c>
      <c r="G95" s="85">
        <f>IFERROR(VLOOKUP(Q3,Use!AB2:AI101,2,FALSE),"")</f>
        <v>0</v>
      </c>
      <c r="H95" s="85">
        <f>IFERROR(VLOOKUP(Q3,Use!AB2:AI101,3,FALSE),"")</f>
        <v>0</v>
      </c>
      <c r="I95" s="85">
        <f>IFERROR(VLOOKUP(Q3,Use!AB2:AI101,4,FALSE),"")</f>
        <v>0</v>
      </c>
      <c r="J95" s="85">
        <f>IFERROR(VLOOKUP(Q3,Use!AB2:AI101,5,FALSE),"")</f>
        <v>0</v>
      </c>
      <c r="K95" s="85">
        <f>IFERROR(VLOOKUP(Q3,Use!AB2:AI101,6,FALSE),"")</f>
        <v>0</v>
      </c>
      <c r="L95" s="85">
        <f>IFERROR(VLOOKUP(Q3,Use!AB2:AI101,7,FALSE),"")</f>
        <v>0</v>
      </c>
      <c r="M95" s="85">
        <f>IFERROR(VLOOKUP(Q3,Use!AB2:AI101,8,FALSE),"")</f>
        <v>0</v>
      </c>
    </row>
    <row r="96" spans="1:17" hidden="1" outlineLevel="1" x14ac:dyDescent="0.2"/>
    <row r="97" spans="1:38" hidden="1" outlineLevel="1" x14ac:dyDescent="0.2">
      <c r="F97" s="84" t="s">
        <v>53</v>
      </c>
      <c r="G97" s="69">
        <f>IFERROR(F53/F55,"")</f>
        <v>0.6626164027216418</v>
      </c>
    </row>
    <row r="98" spans="1:38" collapsed="1" x14ac:dyDescent="0.2"/>
    <row r="99" spans="1:38" ht="16" hidden="1" outlineLevel="1" thickTop="1" x14ac:dyDescent="0.2">
      <c r="A99" s="174"/>
      <c r="B99" s="140"/>
      <c r="C99" s="140"/>
      <c r="D99" s="140"/>
      <c r="E99" s="140"/>
      <c r="F99" s="140"/>
      <c r="G99" s="140" t="s">
        <v>54</v>
      </c>
      <c r="H99" s="159">
        <f>G21</f>
        <v>1.7271635724347139</v>
      </c>
      <c r="I99" s="140"/>
      <c r="J99" s="140"/>
      <c r="K99" s="140" t="s">
        <v>54</v>
      </c>
      <c r="L99" s="158">
        <f>$H$21</f>
        <v>-1.2303519054244413E-7</v>
      </c>
      <c r="M99" s="140"/>
      <c r="N99" s="140"/>
      <c r="O99" s="140" t="s">
        <v>54</v>
      </c>
      <c r="P99" s="158">
        <f>$I$21</f>
        <v>3.5615483351967869E-3</v>
      </c>
      <c r="Q99" s="140"/>
      <c r="R99" s="175"/>
      <c r="S99" s="175" t="s">
        <v>54</v>
      </c>
      <c r="T99" s="176">
        <f>$J$21</f>
        <v>1.3338706847547913E-2</v>
      </c>
      <c r="U99" s="175"/>
      <c r="V99" s="175"/>
      <c r="W99" s="175" t="s">
        <v>54</v>
      </c>
      <c r="X99" s="176">
        <f>$K$21</f>
        <v>2.151444384077981E-3</v>
      </c>
      <c r="Y99" s="175"/>
      <c r="Z99" s="175"/>
      <c r="AA99" s="175" t="s">
        <v>54</v>
      </c>
      <c r="AB99" s="177">
        <f>$L$21</f>
        <v>-22.619451073291287</v>
      </c>
      <c r="AC99" s="175"/>
      <c r="AD99" s="175"/>
      <c r="AE99" s="175" t="s">
        <v>54</v>
      </c>
      <c r="AF99" s="177">
        <f>$M$21</f>
        <v>97.654811491625523</v>
      </c>
      <c r="AG99" s="175"/>
      <c r="AH99" s="175"/>
      <c r="AI99" s="175" t="s">
        <v>54</v>
      </c>
      <c r="AJ99" s="177">
        <f>IFERROR((($M$21-$L$21)/$M$21)*100,0)</f>
        <v>123.16265909256406</v>
      </c>
      <c r="AK99" s="175"/>
      <c r="AL99" s="178"/>
    </row>
    <row r="100" spans="1:38" s="136" customFormat="1" ht="69" hidden="1" customHeight="1" outlineLevel="1" x14ac:dyDescent="0.2">
      <c r="A100" s="141"/>
      <c r="B100" s="139"/>
      <c r="C100" s="139"/>
      <c r="D100" s="139"/>
      <c r="E100" s="139"/>
      <c r="F100" s="132" t="s">
        <v>55</v>
      </c>
      <c r="G100" s="133" t="s">
        <v>56</v>
      </c>
      <c r="H100" s="133" t="s">
        <v>57</v>
      </c>
      <c r="I100" s="134" t="s">
        <v>58</v>
      </c>
      <c r="J100" s="135" t="s">
        <v>55</v>
      </c>
      <c r="K100" s="133" t="s">
        <v>59</v>
      </c>
      <c r="L100" s="133" t="s">
        <v>60</v>
      </c>
      <c r="M100" s="134" t="s">
        <v>58</v>
      </c>
      <c r="N100" s="135" t="s">
        <v>55</v>
      </c>
      <c r="O100" s="133" t="s">
        <v>61</v>
      </c>
      <c r="P100" s="133" t="s">
        <v>62</v>
      </c>
      <c r="Q100" s="134" t="s">
        <v>58</v>
      </c>
      <c r="R100" s="135" t="s">
        <v>55</v>
      </c>
      <c r="S100" s="179" t="s">
        <v>135</v>
      </c>
      <c r="T100" s="179" t="s">
        <v>136</v>
      </c>
      <c r="U100" s="180" t="s">
        <v>58</v>
      </c>
      <c r="V100" s="135" t="s">
        <v>55</v>
      </c>
      <c r="W100" s="179" t="s">
        <v>137</v>
      </c>
      <c r="X100" s="179" t="s">
        <v>138</v>
      </c>
      <c r="Y100" s="180" t="s">
        <v>58</v>
      </c>
      <c r="Z100" s="135" t="s">
        <v>55</v>
      </c>
      <c r="AA100" s="179" t="s">
        <v>139</v>
      </c>
      <c r="AB100" s="179" t="s">
        <v>141</v>
      </c>
      <c r="AC100" s="180" t="s">
        <v>58</v>
      </c>
      <c r="AD100" s="135" t="s">
        <v>55</v>
      </c>
      <c r="AE100" s="179" t="s">
        <v>140</v>
      </c>
      <c r="AF100" s="179" t="s">
        <v>142</v>
      </c>
      <c r="AG100" s="180" t="s">
        <v>58</v>
      </c>
      <c r="AH100" s="135" t="s">
        <v>55</v>
      </c>
      <c r="AI100" s="179" t="s">
        <v>143</v>
      </c>
      <c r="AJ100" s="179" t="s">
        <v>63</v>
      </c>
      <c r="AK100" s="180" t="s">
        <v>58</v>
      </c>
      <c r="AL100" s="181"/>
    </row>
    <row r="101" spans="1:38" hidden="1" outlineLevel="1" x14ac:dyDescent="0.2">
      <c r="A101" s="142"/>
      <c r="B101" s="126"/>
      <c r="C101" s="126"/>
      <c r="D101" s="126"/>
      <c r="E101" s="126"/>
      <c r="F101" s="124">
        <v>0</v>
      </c>
      <c r="G101" s="125">
        <f>IFERROR(VLOOKUP(CONCATENATE($Q$3,"_",F101),Punkte_ENV1.1!$A$2:$P$1030,2,FALSE)*(VLOOKUP(CONCATENATE($Q$3,"_",F101),Punkte_ENV1.1!$A$2:$P$1030,3,FALSE)*$G$12+VLOOKUP(CONCATENATE($Q$3,"_",F101),Punkte_ENV1.1!$A$2:$P$1030,4,FALSE)*$G$17),"")</f>
        <v>54.043277663387478</v>
      </c>
      <c r="H101" s="125">
        <f>IF(G101="","",IF($G$21&lt;=G101,$G$21,""))</f>
        <v>1.7271635724347139</v>
      </c>
      <c r="I101" s="146" t="b">
        <f>IF(H101="","",IF(AND(G102="",G103="",G104="",G105="",G106="",G107="",G108="",G109="",H101&lt;=G101),F101,IF(AND(H102="",H103="",H104="",H105="",H106="",H107="",H108="",H109=""),IF(AND(F102&lt;&gt;"",G102&lt;&gt;""),(F102-F101)/(G102-G101)*H101+(F101*G102-F102*G101)/(G102-G101),IF(AND(F103&lt;&gt;"",G103&lt;&gt;""),(F103-F101)/(G103-G101)*H101+(F101*G103-F103*G101)/(G103-G101),IF(AND(F104&lt;&gt;"",G104&lt;&gt;""),(F104-F101)/(G104-G101)*H101+(F101*G104-F104*G101)/(G104-G101),IF(AND(F105&lt;&gt;"",G105&lt;&gt;""),(F105-F101)/(G105-G101)*H101+(F101*G105-F105*G101)/(G105-G101),IF(AND(F106&lt;&gt;"",G106&lt;&gt;""),(F106-F101)/(G106-G101)*H101+(F101*G106-F106*G101)/(G106-G101),IF(AND(F107&lt;&gt;"",G107&lt;&gt;""),(F107-F101)/(G107-G101)*H101+(F101*G107-F107*G101)/(G107-G101),IF(AND(F108&lt;&gt;"",G108&lt;&gt;""),(F108-F101)/(G108-G101)*H101+(F101*G108-F108*G101)/(G108-G101),IF(AND(F109&lt;&gt;"",G109&lt;&gt;""),(F109-F101)/(G109-G101)*H101+(F101*G109-F109*G101)/(G109-G101),"")))))))))))</f>
        <v>0</v>
      </c>
      <c r="J101" s="124">
        <v>0</v>
      </c>
      <c r="K101" s="138">
        <f>IFERROR(VLOOKUP(CONCATENATE($Q$3,"_",J101),Punkte_ENV1.1!$A$2:$P$1030,5,FALSE)*(VLOOKUP(CONCATENATE($Q$3,"_",J101),Punkte_ENV1.1!$A$2:$P$1030,6,FALSE)*$H$12+VLOOKUP(CONCATENATE($Q$3,"_",J101),Punkte_ENV1.1!$A$2:$P$1030,7,FALSE)*$H$17),"")</f>
        <v>0</v>
      </c>
      <c r="L101" s="138">
        <f>IF(K101="","",IF($H$21&lt;=K101,$H$21,""))</f>
        <v>-1.2303519054244413E-7</v>
      </c>
      <c r="M101" s="146" t="b">
        <f t="shared" ref="M101:U101" si="17">IF(L101="","",IF(AND(K102="",K103="",K104="",K105="",K106="",K107="",K108="",K109="",L101&lt;=K101),J101,IF(AND(L102="",L103="",L104="",L105="",L106="",L107="",L108="",L109=""),IF(AND(J102&lt;&gt;"",K102&lt;&gt;""),(J102-J101)/(K102-K101)*L101+(J101*K102-J102*K101)/(K102-K101),IF(AND(J103&lt;&gt;"",K103&lt;&gt;""),(J103-J101)/(K103-K101)*L101+(J101*K103-J103*K101)/(K103-K101),IF(AND(J104&lt;&gt;"",K104&lt;&gt;""),(J104-J101)/(K104-K101)*L101+(J101*K104-J104*K101)/(K104-K101),IF(AND(J105&lt;&gt;"",K105&lt;&gt;""),(J105-J101)/(K105-K101)*L101+(J101*K105-J105*K101)/(K105-K101),IF(AND(J106&lt;&gt;"",K106&lt;&gt;""),(J106-J101)/(K106-K101)*L101+(J101*K106-J106*K101)/(K106-K101),IF(AND(J107&lt;&gt;"",K107&lt;&gt;""),(J107-J101)/(K107-K101)*L101+(J101*K107-J107*K101)/(K107-K101),IF(AND(J108&lt;&gt;"",K108&lt;&gt;""),(J108-J101)/(K108-K101)*L101+(J101*K108-J108*K101)/(K108-K101),IF(AND(J109&lt;&gt;"",K109&lt;&gt;""),(J109-J101)/(K109-K101)*L101+(J101*K109-J109*K101)/(K109-K101),"")))))))))))</f>
        <v>0</v>
      </c>
      <c r="N101" s="124">
        <v>0</v>
      </c>
      <c r="O101" s="138">
        <f>IFERROR(VLOOKUP(CONCATENATE($Q$3,"_",N101),Punkte_ENV1.1!$A$2:$P$1030,8,FALSE)*(VLOOKUP(CONCATENATE($Q$3,"_",N101),Punkte_ENV1.1!$A$2:$P$1030,9,FALSE)*$I$12+VLOOKUP(CONCATENATE($Q$3,"_",N101),Punkte_ENV1.1!$A$2:$P$1030,10,FALSE)*$I$17),"")</f>
        <v>1.5276502707237093E-2</v>
      </c>
      <c r="P101" s="138">
        <f>IF(O101="","",IF($I$21&lt;=O101,$I$21,""))</f>
        <v>3.5615483351967869E-3</v>
      </c>
      <c r="Q101" s="146" t="b">
        <f t="shared" si="17"/>
        <v>0</v>
      </c>
      <c r="R101" s="182">
        <v>0</v>
      </c>
      <c r="S101" s="183">
        <f>IFERROR(VLOOKUP(CONCATENATE($Q$3,"_",R101),Punkte_ENV1.1!$A$2:$P$1030,11,FALSE)*(VLOOKUP(CONCATENATE($Q$3,"_",R101),Punkte_ENV1.1!$A$2:$P$1030,12,FALSE)*$J$12+VLOOKUP(CONCATENATE($Q$3,"_",R101),Punkte_ENV1.1!$A$2:$P$1030,13,FALSE)*$J$17),"")</f>
        <v>0.12941952337375123</v>
      </c>
      <c r="T101" s="183">
        <f>IF(S101="","",IF($J$21&lt;=S101,$J$21,""))</f>
        <v>1.3338706847547913E-2</v>
      </c>
      <c r="U101" s="184" t="b">
        <f t="shared" si="17"/>
        <v>0</v>
      </c>
      <c r="V101" s="182">
        <v>0</v>
      </c>
      <c r="W101" s="183">
        <f>IFERROR(VLOOKUP(CONCATENATE($Q$3,"_",V101),Punkte_ENV1.1!$A$2:$P$1030,14,FALSE)*(VLOOKUP(CONCATENATE($Q$3,"_",V101),Punkte_ENV1.1!$A$2:$P$1030,15,FALSE)*$K$12+VLOOKUP(CONCATENATE($Q$3,"_",V101),Punkte_ENV1.1!$A$2:$P$1030,16,FALSE)*$K$17),"")</f>
        <v>1.9988220341137293E-2</v>
      </c>
      <c r="X101" s="183">
        <f>IF(W101="","",IF($K$21&lt;=W101,$K$21,""))</f>
        <v>2.151444384077981E-3</v>
      </c>
      <c r="Y101" s="184" t="b">
        <f>IF(X101="","",IF(AND(W102="",W103="",W104="",W105="",W106="",W107="",W108="",W109="",X101&lt;=W101),V101,IF(AND(X102="",X103="",X104="",X105="",X106="",X107="",X108="",X109=""),IF(AND(V102&lt;&gt;"",W102&lt;&gt;""),(V102-V101)/(W102-W101)*X101+(V101*W102-V102*W101)/(W102-W101),IF(AND(V103&lt;&gt;"",W103&lt;&gt;""),(V103-V101)/(W103-W101)*X101+(V101*W103-V103*W101)/(W103-W101),IF(AND(V104&lt;&gt;"",W104&lt;&gt;""),(V104-V101)/(W104-W101)*X101+(V101*W104-V104*W101)/(W104-W101),IF(AND(V105&lt;&gt;"",W105&lt;&gt;""),(V105-V101)/(W105-W101)*X101+(V101*W105-V105*W101)/(W105-W101),IF(AND(V106&lt;&gt;"",W106&lt;&gt;""),(V106-V101)/(W106-W101)*X101+(V101*W106-V106*W101)/(W106-W101),IF(AND(V107&lt;&gt;"",W107&lt;&gt;""),(V107-V101)/(W107-W101)*X101+(V101*W107-V107*W101)/(W107-W101),IF(AND(V108&lt;&gt;"",W108&lt;&gt;""),(V108-V101)/(W108-W101)*X101+(V101*W108-V108*W101)/(W108-W101),IF(AND(V109&lt;&gt;"",W109&lt;&gt;""),(V109-V101)/(W109-W101)*X101+(V101*W109-V109*W101)/(W109-W101),"")))))))))))</f>
        <v>0</v>
      </c>
      <c r="Z101" s="185">
        <v>0</v>
      </c>
      <c r="AA101" s="186">
        <f>IFERROR(VLOOKUP(CONCATENATE($Q$3,"_",Z101),Punkte_PENE!$A$2:$D$1026,2,FALSE)*(VLOOKUP(CONCATENATE($Q$3,"_",Z101),Punkte_PENE!$A$2:$D$1026,3,FALSE)*$L$12+VLOOKUP(CONCATENATE($Q$3,"_",Z101),Punkte_PENE!$A$2:$D$1026,4,FALSE)*$L$17),"")</f>
        <v>733.40508401331999</v>
      </c>
      <c r="AB101" s="186">
        <f>IF(AA101="","",IF($L$21&lt;=AA101,$L$21,""))</f>
        <v>-22.619451073291287</v>
      </c>
      <c r="AC101" s="184" t="b">
        <f>IF(AB101="","",IF(AND(AA102="",AA103="",AA104="",AA105="",AA106="",AA107="",AA108="",AA109="",AB101&lt;=AA101),Z101,IF(AND(AB102="",AB103="",AB104="",AB105="",AB106="",AB107="",AB108="",AB109=""),IF(AND(Z102&lt;&gt;"",AA102&lt;&gt;""),(Z102-Z101)/(AA102-AA101)*AB101+(Z101*AA102-Z102*AA101)/(AA102-AA101),IF(AND(Z103&lt;&gt;"",AA103&lt;&gt;""),(Z103-Z101)/(AA103-AA101)*AB101+(Z101*AA103-Z103*AA101)/(AA103-AA101),IF(AND(Z104&lt;&gt;"",AA104&lt;&gt;""),(Z104-Z101)/(AA104-AA101)*AB101+(Z101*AA104-Z104*AA101)/(AA104-AA101),IF(AND(Z105&lt;&gt;"",AA105&lt;&gt;""),(Z105-Z101)/(AA105-AA101)*AB101+(Z101*AA105-Z105*AA101)/(AA105-AA101),IF(AND(Z106&lt;&gt;"",AA106&lt;&gt;""),(Z106-Z101)/(AA106-AA101)*AB101+(Z101*AA106-Z106*AA101)/(AA106-AA101),IF(AND(Z107&lt;&gt;"",AA107&lt;&gt;""),(Z107-Z101)/(AA107-AA101)*AB101+(Z101*AA107-Z107*AA101)/(AA107-AA101),IF(AND(Z108&lt;&gt;"",AA108&lt;&gt;""),(Z108-Z101)/(AA108-AA101)*AB101+(Z101*AA108-Z108*AA101)/(AA108-AA101),IF(AND(Z109&lt;&gt;"",AA109&lt;&gt;""),(Z109-Z101)/(AA109-AA101)*AB101+(Z101*AA109-Z109*AA101)/(AA109-AA101),"")))))))))))</f>
        <v>0</v>
      </c>
      <c r="AD101" s="185">
        <v>0</v>
      </c>
      <c r="AE101" s="186">
        <f>IFERROR(VLOOKUP(CONCATENATE($Q$3,"_",AD101),Punkte_PEGES!$A$2:$D$1029,2,FALSE)*(VLOOKUP(CONCATENATE($Q$3,"_",AD101),Punkte_PEGES!$A$2:$D$1029,3,FALSE)*$M$12+VLOOKUP(CONCATENATE($Q$3,"_",AD101),Punkte_PEGES!$A$2:$D$1029,4,FALSE)*$M$17),"")</f>
        <v>972.16759449909739</v>
      </c>
      <c r="AF101" s="186">
        <f>IF(AE101="","",IF($M$21&lt;=AE101,$M$21,""))</f>
        <v>97.654811491625523</v>
      </c>
      <c r="AG101" s="184" t="b">
        <f t="shared" ref="AG101:AG116" si="18">IF(AF101="","",IF(AND(AE102="",AE103="",AE104="",AE105="",AE106="",AE107="",AE108="",AE109="",AF101&lt;=AE101),AD101,IF(AND(AF102="",AF103="",AF104="",AF105="",AF106="",AF107="",AF108="",AF109=""),IF(AND(AD102&lt;&gt;"",AE102&lt;&gt;""),(AD102-AD101)/(AE102-AE101)*AF101+(AD101*AE102-AD102*AE101)/(AE102-AE101),IF(AND(AD103&lt;&gt;"",AE103&lt;&gt;""),(AD103-AD101)/(AE103-AE101)*AF101+(AD101*AE103-AD103*AE101)/(AE103-AE101),IF(AND(AD104&lt;&gt;"",AE104&lt;&gt;""),(AD104-AD101)/(AE104-AE101)*AF101+(AD101*AE104-AD104*AE101)/(AE104-AE101),IF(AND(AD105&lt;&gt;"",AE105&lt;&gt;""),(AD105-AD101)/(AE105-AE101)*AF101+(AD101*AE105-AD105*AE101)/(AE105-AE101),IF(AND(AD106&lt;&gt;"",AE106&lt;&gt;""),(AD106-AD101)/(AE106-AE101)*AF101+(AD101*AE106-AD106*AE101)/(AE106-AE101),IF(AND(AD107&lt;&gt;"",AE107&lt;&gt;""),(AD107-AD101)/(AE107-AE101)*AF101+(AD101*AE107-AD107*AE101)/(AE107-AE101),IF(AND(AD108&lt;&gt;"",AE108&lt;&gt;""),(AD108-AD101)/(AE108-AE101)*AF101+(AD101*AE108-AD108*AE101)/(AE108-AE101),IF(AND(AD109&lt;&gt;"",AE109&lt;&gt;""),(AD109-AD101)/(AE109-AE101)*AF101+(AD101*AE109-AD109*AE101)/(AE109-AE101),"")))))))))))</f>
        <v>0</v>
      </c>
      <c r="AH101" s="185">
        <v>0</v>
      </c>
      <c r="AI101" s="186">
        <f>IFERROR(VLOOKUP(CONCATENATE($Q$3,"_",AH101),Punkte_PEE!$A$2:$B$1028,2,FALSE),"")</f>
        <v>5</v>
      </c>
      <c r="AJ101" s="186">
        <f>IFERROR(IF(AI101="","",IF((($M$21-$L$21)/$M$21)*100&gt;=AI101,(($M$21-$L$21)/$M$21)*100,"")),"")</f>
        <v>123.16265909256406</v>
      </c>
      <c r="AK101" s="184" t="b">
        <f t="shared" ref="AK101" si="19">IF(AJ101="","",IF(AND(AI102="",AI103="",AI104="",AI105="",AI106="",AI107="",AI108="",AI109="",AJ101&lt;=AI101),AH101,IF(AND(AJ102="",AJ103="",AJ104="",AJ105="",AJ106="",AJ107="",AJ108="",AJ109=""),IF(AND(AH102&lt;&gt;"",AI102&lt;&gt;""),(AH102-AH101)/(AI102-AI101)*AJ101+(AH101*AI102-AH102*AI101)/(AI102-AI101),IF(AND(AH103&lt;&gt;"",AI103&lt;&gt;""),(AH103-AH101)/(AI103-AI101)*AJ101+(AH101*AI103-AH103*AI101)/(AI103-AI101),IF(AND(AH104&lt;&gt;"",AI104&lt;&gt;""),(AH104-AH101)/(AI104-AI101)*AJ101+(AH101*AI104-AH104*AI101)/(AI104-AI101),IF(AND(AH105&lt;&gt;"",AI105&lt;&gt;""),(AH105-AH101)/(AI105-AI101)*AJ101+(AH101*AI105-AH105*AI101)/(AI105-AI101),IF(AND(AH106&lt;&gt;"",AI106&lt;&gt;""),(AH106-AH101)/(AI106-AI101)*AJ101+(AH101*AI106-AH106*AI101)/(AI106-AI101),IF(AND(AH107&lt;&gt;"",AI107&lt;&gt;""),(AH107-AH101)/(AI107-AI101)*AJ101+(AH101*AI107-AH107*AI101)/(AI107-AI101),IF(AND(AH108&lt;&gt;"",AI108&lt;&gt;""),(AH108-AH101)/(AI108-AI101)*AJ101+(AH101*AI108-AH108*AI101)/(AI108-AI101),IF(AND(AH109&lt;&gt;"",AI109&lt;&gt;""),(AH109-AH101)/(AI109-AI101)*AJ101+(AH101*AI109-AH109*AI101)/(AI109-AI101),"")))))))))))</f>
        <v>0</v>
      </c>
      <c r="AL101" s="187"/>
    </row>
    <row r="102" spans="1:38" hidden="1" outlineLevel="1" x14ac:dyDescent="0.2">
      <c r="A102" s="142"/>
      <c r="B102" s="126"/>
      <c r="C102" s="126"/>
      <c r="D102" s="126"/>
      <c r="E102" s="126"/>
      <c r="F102" s="130">
        <v>10</v>
      </c>
      <c r="G102" s="126" t="str">
        <f>IFERROR(VLOOKUP(CONCATENATE($Q$3,"_",F102),Punkte_ENV1.1!$A$2:$P$1030,2,FALSE)*(VLOOKUP(CONCATENATE($Q$3,"_",F102),Punkte_ENV1.1!$A$2:$P$1030,3,FALSE)*$G$12+VLOOKUP(CONCATENATE($Q$3,"_",F102),Punkte_ENV1.1!$A$2:$P$1030,4,FALSE)*$G$17),"")</f>
        <v/>
      </c>
      <c r="H102" s="126" t="str">
        <f>IF(G102="","",IF($G$21&lt;=G102,$G$21,""))</f>
        <v/>
      </c>
      <c r="I102" s="147" t="str">
        <f t="shared" ref="I102:I114" si="20">IF(H102="","",IF(AND(G103="",G104="",G105="",G106="",G107="",G108="",G109="",G110="",H102&lt;=G102),F102,IF(AND(H103="",H104="",H105="",H106="",H107="",H108="",H109="",H110=""),IF(AND(F103&lt;&gt;"",G103&lt;&gt;""),(F103-F102)/(G103-G102)*H102+(F102*G103-F103*G102)/(G103-G102),IF(AND(F104&lt;&gt;"",G104&lt;&gt;""),(F104-F102)/(G104-G102)*H102+(F102*G104-F104*G102)/(G104-G102),IF(AND(F105&lt;&gt;"",G105&lt;&gt;""),(F105-F102)/(G105-G102)*H102+(F102*G105-F105*G102)/(G105-G102),IF(AND(F106&lt;&gt;"",G106&lt;&gt;""),(F106-F102)/(G106-G102)*H102+(F102*G106-F106*G102)/(G106-G102),IF(AND(F107&lt;&gt;"",G107&lt;&gt;""),(F107-F102)/(G107-G102)*H102+(F102*G107-F107*G102)/(G107-G102),IF(AND(F108&lt;&gt;"",G108&lt;&gt;""),(F108-F102)/(G108-G102)*H102+(F102*G108-F108*G102)/(G108-G102),IF(AND(F109&lt;&gt;"",G109&lt;&gt;""),(F109-F102)/(G109-G102)*H102+(F102*G109-F109*G102)/(G109-G102),IF(AND(F110&lt;&gt;"",G110&lt;&gt;""),(F110-F102)/(G110-G102)*H102+(F102*G110-F110*G102)/(G110-G102),"")))))))))))</f>
        <v/>
      </c>
      <c r="J102" s="130">
        <v>10</v>
      </c>
      <c r="K102" s="129" t="str">
        <f>IFERROR(VLOOKUP(CONCATENATE($Q$3,"_",J102),Punkte_ENV1.1!$A$2:$P$1030,5,FALSE)*(VLOOKUP(CONCATENATE($Q$3,"_",J102),Punkte_ENV1.1!$A$2:$P$1030,6,FALSE)*$H$12+VLOOKUP(CONCATENATE($Q$3,"_",J102),Punkte_ENV1.1!$A$2:$P$1030,7,FALSE)*$H$17),"")</f>
        <v/>
      </c>
      <c r="L102" s="129" t="str">
        <f>IF(K102="","",IF($H$21&lt;=K102,$H$21,""))</f>
        <v/>
      </c>
      <c r="M102" s="147" t="str">
        <f t="shared" ref="M102:M114" si="21">IF(L102="","",IF(AND(K103="",K104="",K105="",K106="",K107="",K108="",K109="",K110="",L102&lt;=K102),J102,IF(AND(L103="",L104="",L105="",L106="",L107="",L108="",L109="",L110=""),IF(AND(J103&lt;&gt;"",K103&lt;&gt;""),(J103-J102)/(K103-K102)*L102+(J102*K103-J103*K102)/(K103-K102),IF(AND(J104&lt;&gt;"",K104&lt;&gt;""),(J104-J102)/(K104-K102)*L102+(J102*K104-J104*K102)/(K104-K102),IF(AND(J105&lt;&gt;"",K105&lt;&gt;""),(J105-J102)/(K105-K102)*L102+(J102*K105-J105*K102)/(K105-K102),IF(AND(J106&lt;&gt;"",K106&lt;&gt;""),(J106-J102)/(K106-K102)*L102+(J102*K106-J106*K102)/(K106-K102),IF(AND(J107&lt;&gt;"",K107&lt;&gt;""),(J107-J102)/(K107-K102)*L102+(J102*K107-J107*K102)/(K107-K102),IF(AND(J108&lt;&gt;"",K108&lt;&gt;""),(J108-J102)/(K108-K102)*L102+(J102*K108-J108*K102)/(K108-K102),IF(AND(J109&lt;&gt;"",K109&lt;&gt;""),(J109-J102)/(K109-K102)*L102+(J102*K109-J109*K102)/(K109-K102),IF(AND(J110&lt;&gt;"",K110&lt;&gt;""),(J110-J102)/(K110-K102)*L102+(J102*K110-J110*K102)/(K110-K102),"")))))))))))</f>
        <v/>
      </c>
      <c r="N102" s="130">
        <v>10</v>
      </c>
      <c r="O102" s="129" t="str">
        <f>IFERROR(VLOOKUP(CONCATENATE($Q$3,"_",N102),Punkte_ENV1.1!$A$2:$P$1030,8,FALSE)*(VLOOKUP(CONCATENATE($Q$3,"_",N102),Punkte_ENV1.1!$A$2:$P$1030,9,FALSE)*$I$12+VLOOKUP(CONCATENATE($Q$3,"_",N102),Punkte_ENV1.1!$A$2:$P$1030,10,FALSE)*$I$17),"")</f>
        <v/>
      </c>
      <c r="P102" s="129" t="str">
        <f>IF(O102="","",IF($I$21&lt;=O102,$I$21,""))</f>
        <v/>
      </c>
      <c r="Q102" s="147" t="str">
        <f t="shared" ref="Q102:Q114" si="22">IF(P102="","",IF(AND(O103="",O104="",O105="",O106="",O107="",O108="",O109="",O110="",P102&lt;=O102),N102,IF(AND(P103="",P104="",P105="",P106="",P107="",P108="",P109="",P110=""),IF(AND(N103&lt;&gt;"",O103&lt;&gt;""),(N103-N102)/(O103-O102)*P102+(N102*O103-N103*O102)/(O103-O102),IF(AND(N104&lt;&gt;"",O104&lt;&gt;""),(N104-N102)/(O104-O102)*P102+(N102*O104-N104*O102)/(O104-O102),IF(AND(N105&lt;&gt;"",O105&lt;&gt;""),(N105-N102)/(O105-O102)*P102+(N102*O105-N105*O102)/(O105-O102),IF(AND(N106&lt;&gt;"",O106&lt;&gt;""),(N106-N102)/(O106-O102)*P102+(N102*O106-N106*O102)/(O106-O102),IF(AND(N107&lt;&gt;"",O107&lt;&gt;""),(N107-N102)/(O107-O102)*P102+(N102*O107-N107*O102)/(O107-O102),IF(AND(N108&lt;&gt;"",O108&lt;&gt;""),(N108-N102)/(O108-O102)*P102+(N102*O108-N108*O102)/(O108-O102),IF(AND(N109&lt;&gt;"",O109&lt;&gt;""),(N109-N102)/(O109-O102)*P102+(N102*O109-N109*O102)/(O109-O102),IF(AND(N110&lt;&gt;"",O110&lt;&gt;""),(N110-N102)/(O110-O102)*P102+(N102*O110-N110*O102)/(O110-O102),"")))))))))))</f>
        <v/>
      </c>
      <c r="R102" s="188">
        <v>10</v>
      </c>
      <c r="S102" s="189" t="str">
        <f>IFERROR(VLOOKUP(CONCATENATE($Q$3,"_",R102),Punkte_ENV1.1!$A$2:$P$1030,11,FALSE)*(VLOOKUP(CONCATENATE($Q$3,"_",R102),Punkte_ENV1.1!$A$2:$P$1030,12,FALSE)*$J$12+VLOOKUP(CONCATENATE($Q$3,"_",R102),Punkte_ENV1.1!$A$2:$P$1030,13,FALSE)*$J$17),"")</f>
        <v/>
      </c>
      <c r="T102" s="189" t="str">
        <f t="shared" ref="T102:T114" si="23">IF(S102="","",IF($J$21&lt;=S102,$J$21,""))</f>
        <v/>
      </c>
      <c r="U102" s="190" t="str">
        <f t="shared" ref="U102:U114" si="24">IF(T102="","",IF(AND(S103="",S104="",S105="",S106="",S107="",S108="",S109="",S110="",T102&lt;=S102),R102,IF(AND(T103="",T104="",T105="",T106="",T107="",T108="",T109="",T110=""),IF(AND(R103&lt;&gt;"",S103&lt;&gt;""),(R103-R102)/(S103-S102)*T102+(R102*S103-R103*S102)/(S103-S102),IF(AND(R104&lt;&gt;"",S104&lt;&gt;""),(R104-R102)/(S104-S102)*T102+(R102*S104-R104*S102)/(S104-S102),IF(AND(R105&lt;&gt;"",S105&lt;&gt;""),(R105-R102)/(S105-S102)*T102+(R102*S105-R105*S102)/(S105-S102),IF(AND(R106&lt;&gt;"",S106&lt;&gt;""),(R106-R102)/(S106-S102)*T102+(R102*S106-R106*S102)/(S106-S102),IF(AND(R107&lt;&gt;"",S107&lt;&gt;""),(R107-R102)/(S107-S102)*T102+(R102*S107-R107*S102)/(S107-S102),IF(AND(R108&lt;&gt;"",S108&lt;&gt;""),(R108-R102)/(S108-S102)*T102+(R102*S108-R108*S102)/(S108-S102),IF(AND(R109&lt;&gt;"",S109&lt;&gt;""),(R109-R102)/(S109-S102)*T102+(R102*S109-R109*S102)/(S109-S102),IF(AND(R110&lt;&gt;"",S110&lt;&gt;""),(R110-R102)/(S110-S102)*T102+(R102*S110-R110*S102)/(S110-S102),"")))))))))))</f>
        <v/>
      </c>
      <c r="V102" s="188">
        <v>10</v>
      </c>
      <c r="W102" s="189" t="str">
        <f>IFERROR(VLOOKUP(CONCATENATE($Q$3,"_",V102),Punkte_ENV1.1!$A$2:$P$1030,14,FALSE)*(VLOOKUP(CONCATENATE($Q$3,"_",V102),Punkte_ENV1.1!$A$2:$P$1030,15,FALSE)*$K$12+VLOOKUP(CONCATENATE($Q$3,"_",V102),Punkte_ENV1.1!$A$2:$P$1030,16,FALSE)*$K$17),"")</f>
        <v/>
      </c>
      <c r="X102" s="189" t="str">
        <f t="shared" ref="X102:X114" si="25">IF(W102="","",IF($K$21&lt;=W102,$K$21,""))</f>
        <v/>
      </c>
      <c r="Y102" s="190" t="str">
        <f t="shared" ref="Y102:Y114" si="26">IF(X102="","",IF(AND(W103="",W104="",W105="",W106="",W107="",W108="",W109="",W110="",X102&lt;=W102),V102,IF(AND(X103="",X104="",X105="",X106="",X107="",X108="",X109="",X110=""),IF(AND(V103&lt;&gt;"",W103&lt;&gt;""),(V103-V102)/(W103-W102)*X102+(V102*W103-V103*W102)/(W103-W102),IF(AND(V104&lt;&gt;"",W104&lt;&gt;""),(V104-V102)/(W104-W102)*X102+(V102*W104-V104*W102)/(W104-W102),IF(AND(V105&lt;&gt;"",W105&lt;&gt;""),(V105-V102)/(W105-W102)*X102+(V102*W105-V105*W102)/(W105-W102),IF(AND(V106&lt;&gt;"",W106&lt;&gt;""),(V106-V102)/(W106-W102)*X102+(V102*W106-V106*W102)/(W106-W102),IF(AND(V107&lt;&gt;"",W107&lt;&gt;""),(V107-V102)/(W107-W102)*X102+(V102*W107-V107*W102)/(W107-W102),IF(AND(V108&lt;&gt;"",W108&lt;&gt;""),(V108-V102)/(W108-W102)*X102+(V102*W108-V108*W102)/(W108-W102),IF(AND(V109&lt;&gt;"",W109&lt;&gt;""),(V109-V102)/(W109-W102)*X102+(V102*W109-V109*W102)/(W109-W102),IF(AND(V110&lt;&gt;"",W110&lt;&gt;""),(V110-V102)/(W110-W102)*X102+(V102*W110-V110*W102)/(W110-W102),"")))))))))))</f>
        <v/>
      </c>
      <c r="Z102" s="191">
        <v>10</v>
      </c>
      <c r="AA102" s="192" t="str">
        <f>IFERROR(VLOOKUP(CONCATENATE($Q$3,"_",Z102),Punkte_PENE!$A$2:$D$1026,2,FALSE)*(VLOOKUP(CONCATENATE($Q$3,"_",Z102),Punkte_PENE!$A$2:$D$1026,3,FALSE)*$L$12+VLOOKUP(CONCATENATE($Q$3,"_",Z102),Punkte_PENE!$A$2:$D$1026,4,FALSE)*$L$17),"")</f>
        <v/>
      </c>
      <c r="AB102" s="192" t="str">
        <f t="shared" ref="AB102:AB114" si="27">IF(AA102="","",IF($L$21&lt;=AA102,$L$21,""))</f>
        <v/>
      </c>
      <c r="AC102" s="190" t="str">
        <f t="shared" ref="AC102:AC114" si="28">IF(AB102="","",IF(AND(AA103="",AA104="",AA105="",AA106="",AA107="",AA108="",AA109="",AA110="",AB102&lt;=AA102),Z102,IF(AND(AB103="",AB104="",AB105="",AB106="",AB107="",AB108="",AB109="",AB110=""),IF(AND(Z103&lt;&gt;"",AA103&lt;&gt;""),(Z103-Z102)/(AA103-AA102)*AB102+(Z102*AA103-Z103*AA102)/(AA103-AA102),IF(AND(Z104&lt;&gt;"",AA104&lt;&gt;""),(Z104-Z102)/(AA104-AA102)*AB102+(Z102*AA104-Z104*AA102)/(AA104-AA102),IF(AND(Z105&lt;&gt;"",AA105&lt;&gt;""),(Z105-Z102)/(AA105-AA102)*AB102+(Z102*AA105-Z105*AA102)/(AA105-AA102),IF(AND(Z106&lt;&gt;"",AA106&lt;&gt;""),(Z106-Z102)/(AA106-AA102)*AB102+(Z102*AA106-Z106*AA102)/(AA106-AA102),IF(AND(Z107&lt;&gt;"",AA107&lt;&gt;""),(Z107-Z102)/(AA107-AA102)*AB102+(Z102*AA107-Z107*AA102)/(AA107-AA102),IF(AND(Z108&lt;&gt;"",AA108&lt;&gt;""),(Z108-Z102)/(AA108-AA102)*AB102+(Z102*AA108-Z108*AA102)/(AA108-AA102),IF(AND(Z109&lt;&gt;"",AA109&lt;&gt;""),(Z109-Z102)/(AA109-AA102)*AB102+(Z102*AA109-Z109*AA102)/(AA109-AA102),IF(AND(Z110&lt;&gt;"",AA110&lt;&gt;""),(Z110-Z102)/(AA110-AA102)*AB102+(Z102*AA110-Z110*AA102)/(AA110-AA102),"")))))))))))</f>
        <v/>
      </c>
      <c r="AD102" s="191">
        <v>5</v>
      </c>
      <c r="AE102" s="192" t="str">
        <f>IFERROR(VLOOKUP(CONCATENATE($Q$3,"_",AD102),Punkte_PEGES!$A$2:$D$1029,2,FALSE)*(VLOOKUP(CONCATENATE($Q$3,"_",AD102),Punkte_PEGES!$A$2:$D$1029,3,FALSE)*$M$12+VLOOKUP(CONCATENATE($Q$3,"_",AD102),Punkte_PEGES!$A$2:$D$1029,4,FALSE)*$M$17),"")</f>
        <v/>
      </c>
      <c r="AF102" s="192" t="str">
        <f t="shared" ref="AF102:AF120" si="29">IF(AE102="","",IF($M$21&lt;=AE102,$M$21,""))</f>
        <v/>
      </c>
      <c r="AG102" s="190" t="str">
        <f t="shared" si="18"/>
        <v/>
      </c>
      <c r="AH102" s="193">
        <v>5</v>
      </c>
      <c r="AI102" s="192" t="str">
        <f>IFERROR(VLOOKUP(CONCATENATE($Q$3,"_",AH102),Punkte_PEE!$A$2:$B$1028,2,FALSE),"")</f>
        <v/>
      </c>
      <c r="AJ102" s="192" t="str">
        <f t="shared" ref="AJ102:AJ111" si="30">IFERROR(IF(AI102="","",IF((($M$21-$L$21)/$M$21)*100&gt;=AI102,(($M$21-$L$21)/$M$21)*100,"")),"")</f>
        <v/>
      </c>
      <c r="AK102" s="190" t="str">
        <f>IF(AJ102="","",IF(AND(AI103="",AI104="",AI105="",AI106="",AI107="",AI108="",AI109="",AI110="",AJ102&gt;=AI102),AH102,IF(AND(AJ103="",AJ104="",AJ105="",AJ106="",AJ107="",AJ108="",AJ109="",AJ110=""),IF(AND(AH103&lt;&gt;"",AI103&lt;&gt;""),(AH103-AH102)/(AI103-AI102)*AJ102+(AH102*AI103-AH103*AI102)/(AI103-AI102),IF(AND(AH104&lt;&gt;"",AI104&lt;&gt;""),(AH104-AH102)/(AI104-AI102)*AJ102+(AH102*AI104-AH104*AI102)/(AI104-AI102),IF(AND(AH105&lt;&gt;"",AI105&lt;&gt;""),(AH105-AH102)/(AI105-AI102)*AJ102+(AH102*AI105-AH105*AI102)/(AI105-AI102),IF(AND(AH106&lt;&gt;"",AI106&lt;&gt;""),(AH106-AH102)/(AI106-AI102)*AJ102+(AH102*AI106-AH106*AI102)/(AI106-AI102),IF(AND(AH107&lt;&gt;"",AI107&lt;&gt;""),(AH107-AH102)/(AI107-AI102)*AJ102+(AH102*AI107-AH107*AI102)/(AI107-AI102),IF(AND(AH108&lt;&gt;"",AI108&lt;&gt;""),(AH108-AH102)/(AI108-AI102)*AJ102+(AH102*AI108-AH108*AI102)/(AI108-AI102),IF(AND(AH109&lt;&gt;"",AI109&lt;&gt;""),(AH109-AH102)/(AI109-AI102)*AJ102+(AH102*AI109-AH109*AI102)/(AI109-AI102),IF(AND(AH110&lt;&gt;"",AI110&lt;&gt;""),(AH110-AH102)/(AI110-AI102)*AJ102+(AH102*AI110-AH110*AI102)/(AI110-AI102),"")))))))))))</f>
        <v/>
      </c>
      <c r="AL102" s="187"/>
    </row>
    <row r="103" spans="1:38" hidden="1" outlineLevel="1" x14ac:dyDescent="0.2">
      <c r="A103" s="142"/>
      <c r="B103" s="126"/>
      <c r="C103" s="126"/>
      <c r="D103" s="126"/>
      <c r="E103" s="126"/>
      <c r="F103" s="130">
        <v>20</v>
      </c>
      <c r="G103" s="126" t="str">
        <f>IFERROR(VLOOKUP(CONCATENATE($Q$3,"_",F103),Punkte_ENV1.1!$A$2:$P$1030,2,FALSE)*(VLOOKUP(CONCATENATE($Q$3,"_",F103),Punkte_ENV1.1!$A$2:$P$1030,3,FALSE)*$G$12+VLOOKUP(CONCATENATE($Q$3,"_",F103),Punkte_ENV1.1!$A$2:$P$1030,4,FALSE)*$G$17),"")</f>
        <v/>
      </c>
      <c r="H103" s="126" t="str">
        <f t="shared" ref="H103:H114" si="31">IF(G103="","",IF($G$21&lt;=G103,$G$21,""))</f>
        <v/>
      </c>
      <c r="I103" s="147" t="str">
        <f t="shared" si="20"/>
        <v/>
      </c>
      <c r="J103" s="130">
        <v>20</v>
      </c>
      <c r="K103" s="129" t="str">
        <f>IFERROR(VLOOKUP(CONCATENATE($Q$3,"_",J103),Punkte_ENV1.1!$A$2:$P$1030,5,FALSE)*(VLOOKUP(CONCATENATE($Q$3,"_",J103),Punkte_ENV1.1!$A$2:$P$1030,6,FALSE)*$H$12+VLOOKUP(CONCATENATE($Q$3,"_",J103),Punkte_ENV1.1!$A$2:$P$1030,7,FALSE)*$H$17),"")</f>
        <v/>
      </c>
      <c r="L103" s="129" t="str">
        <f t="shared" ref="L103:L114" si="32">IF(K103="","",IF($H$21&lt;=K103,$H$21,""))</f>
        <v/>
      </c>
      <c r="M103" s="147" t="str">
        <f t="shared" si="21"/>
        <v/>
      </c>
      <c r="N103" s="130">
        <v>20</v>
      </c>
      <c r="O103" s="129" t="str">
        <f>IFERROR(VLOOKUP(CONCATENATE($Q$3,"_",N103),Punkte_ENV1.1!$A$2:$P$1030,8,FALSE)*(VLOOKUP(CONCATENATE($Q$3,"_",N103),Punkte_ENV1.1!$A$2:$P$1030,9,FALSE)*$I$12+VLOOKUP(CONCATENATE($Q$3,"_",N103),Punkte_ENV1.1!$A$2:$P$1030,10,FALSE)*$I$17),"")</f>
        <v/>
      </c>
      <c r="P103" s="129" t="str">
        <f t="shared" ref="P103:P114" si="33">IF(O103="","",IF($I$21&lt;=O103,$I$21,""))</f>
        <v/>
      </c>
      <c r="Q103" s="147" t="str">
        <f t="shared" si="22"/>
        <v/>
      </c>
      <c r="R103" s="188">
        <v>20</v>
      </c>
      <c r="S103" s="189" t="str">
        <f>IFERROR(VLOOKUP(CONCATENATE($Q$3,"_",R103),Punkte_ENV1.1!$A$2:$P$1030,11,FALSE)*(VLOOKUP(CONCATENATE($Q$3,"_",R103),Punkte_ENV1.1!$A$2:$P$1030,12,FALSE)*$J$12+VLOOKUP(CONCATENATE($Q$3,"_",R103),Punkte_ENV1.1!$A$2:$P$1030,13,FALSE)*$J$17),"")</f>
        <v/>
      </c>
      <c r="T103" s="189" t="str">
        <f t="shared" si="23"/>
        <v/>
      </c>
      <c r="U103" s="190" t="str">
        <f t="shared" si="24"/>
        <v/>
      </c>
      <c r="V103" s="188">
        <v>20</v>
      </c>
      <c r="W103" s="189" t="str">
        <f>IFERROR(VLOOKUP(CONCATENATE($Q$3,"_",V103),Punkte_ENV1.1!$A$2:$P$1030,14,FALSE)*(VLOOKUP(CONCATENATE($Q$3,"_",V103),Punkte_ENV1.1!$A$2:$P$1030,15,FALSE)*$K$12+VLOOKUP(CONCATENATE($Q$3,"_",V103),Punkte_ENV1.1!$A$2:$P$1030,16,FALSE)*$K$17),"")</f>
        <v/>
      </c>
      <c r="X103" s="189" t="str">
        <f t="shared" si="25"/>
        <v/>
      </c>
      <c r="Y103" s="190" t="str">
        <f t="shared" si="26"/>
        <v/>
      </c>
      <c r="Z103" s="191">
        <v>20</v>
      </c>
      <c r="AA103" s="192" t="str">
        <f>IFERROR(VLOOKUP(CONCATENATE($Q$3,"_",Z103),Punkte_PENE!$A$2:$D$1026,2,FALSE)*(VLOOKUP(CONCATENATE($Q$3,"_",Z103),Punkte_PENE!$A$2:$D$1026,3,FALSE)*$L$12+VLOOKUP(CONCATENATE($Q$3,"_",Z103),Punkte_PENE!$A$2:$D$1026,4,FALSE)*$L$17),"")</f>
        <v/>
      </c>
      <c r="AB103" s="192" t="str">
        <f t="shared" si="27"/>
        <v/>
      </c>
      <c r="AC103" s="190" t="str">
        <f t="shared" si="28"/>
        <v/>
      </c>
      <c r="AD103" s="191">
        <v>10</v>
      </c>
      <c r="AE103" s="192" t="str">
        <f>IFERROR(VLOOKUP(CONCATENATE($Q$3,"_",AD103),Punkte_PEGES!$A$2:$D$1029,2,FALSE)*(VLOOKUP(CONCATENATE($Q$3,"_",AD103),Punkte_PEGES!$A$2:$D$1029,3,FALSE)*$M$12+VLOOKUP(CONCATENATE($Q$3,"_",AD103),Punkte_PEGES!$A$2:$D$1029,4,FALSE)*$M$17),"")</f>
        <v/>
      </c>
      <c r="AF103" s="192" t="str">
        <f t="shared" si="29"/>
        <v/>
      </c>
      <c r="AG103" s="190" t="str">
        <f t="shared" si="18"/>
        <v/>
      </c>
      <c r="AH103" s="191">
        <v>10</v>
      </c>
      <c r="AI103" s="192" t="str">
        <f>IFERROR(VLOOKUP(CONCATENATE($Q$3,"_",AH103),Punkte_PEE!$A$2:$B$1028,2,FALSE),"")</f>
        <v/>
      </c>
      <c r="AJ103" s="192" t="str">
        <f t="shared" si="30"/>
        <v/>
      </c>
      <c r="AK103" s="190" t="str">
        <f t="shared" ref="AK103:AK112" si="34">IF(AJ103="","",IF(AND(AI104="",AI105="",AI106="",AI107="",AI108="",AI109="",AI110="",AI111="",AJ103&gt;=AI103),AH103,IF(AND(AJ104="",AJ105="",AJ106="",AJ107="",AJ108="",AJ109="",AJ110="",AJ111=""),IF(AND(AH104&lt;&gt;"",AI104&lt;&gt;""),(AH104-AH103)/(AI104-AI103)*AJ103+(AH103*AI104-AH104*AI103)/(AI104-AI103),IF(AND(AH105&lt;&gt;"",AI105&lt;&gt;""),(AH105-AH103)/(AI105-AI103)*AJ103+(AH103*AI105-AH105*AI103)/(AI105-AI103),IF(AND(AH106&lt;&gt;"",AI106&lt;&gt;""),(AH106-AH103)/(AI106-AI103)*AJ103+(AH103*AI106-AH106*AI103)/(AI106-AI103),IF(AND(AH107&lt;&gt;"",AI107&lt;&gt;""),(AH107-AH103)/(AI107-AI103)*AJ103+(AH103*AI107-AH107*AI103)/(AI107-AI103),IF(AND(AH108&lt;&gt;"",AI108&lt;&gt;""),(AH108-AH103)/(AI108-AI103)*AJ103+(AH103*AI108-AH108*AI103)/(AI108-AI103),IF(AND(AH109&lt;&gt;"",AI109&lt;&gt;""),(AH109-AH103)/(AI109-AI103)*AJ103+(AH103*AI109-AH109*AI103)/(AI109-AI103),IF(AND(AH110&lt;&gt;"",AI110&lt;&gt;""),(AH110-AH103)/(AI110-AI103)*AJ103+(AH103*AI110-AH110*AI103)/(AI110-AI103),IF(AND(AH111&lt;&gt;"",AI111&lt;&gt;""),(AH111-AH103)/(AI111-AI103)*AJ103+(AH103*AI111-AH111*AI103)/(AI111-AI103),"")))))))))))</f>
        <v/>
      </c>
      <c r="AL103" s="187"/>
    </row>
    <row r="104" spans="1:38" hidden="1" outlineLevel="1" x14ac:dyDescent="0.2">
      <c r="A104" s="142"/>
      <c r="B104" s="126"/>
      <c r="C104" s="126"/>
      <c r="D104" s="126"/>
      <c r="E104" s="126"/>
      <c r="F104" s="130">
        <v>30</v>
      </c>
      <c r="G104" s="126">
        <f>IFERROR(VLOOKUP(CONCATENATE($Q$3,"_",F104),Punkte_ENV1.1!$A$2:$P$1030,2,FALSE)*(VLOOKUP(CONCATENATE($Q$3,"_",F104),Punkte_ENV1.1!$A$2:$P$1030,3,FALSE)*$G$12+VLOOKUP(CONCATENATE($Q$3,"_",F104),Punkte_ENV1.1!$A$2:$P$1030,4,FALSE)*$G$17),"")</f>
        <v>42.462575306947308</v>
      </c>
      <c r="H104" s="126">
        <f t="shared" si="31"/>
        <v>1.7271635724347139</v>
      </c>
      <c r="I104" s="147" t="b">
        <f t="shared" si="20"/>
        <v>0</v>
      </c>
      <c r="J104" s="130">
        <v>30</v>
      </c>
      <c r="K104" s="129">
        <f>IFERROR(VLOOKUP(CONCATENATE($Q$3,"_",J104),Punkte_ENV1.1!$A$2:$P$1030,5,FALSE)*(VLOOKUP(CONCATENATE($Q$3,"_",J104),Punkte_ENV1.1!$A$2:$P$1030,6,FALSE)*$H$12+VLOOKUP(CONCATENATE($Q$3,"_",J104),Punkte_ENV1.1!$A$2:$P$1030,7,FALSE)*$H$17),"")</f>
        <v>0</v>
      </c>
      <c r="L104" s="129">
        <f t="shared" si="32"/>
        <v>-1.2303519054244413E-7</v>
      </c>
      <c r="M104" s="147" t="b">
        <f t="shared" si="21"/>
        <v>0</v>
      </c>
      <c r="N104" s="130">
        <v>30</v>
      </c>
      <c r="O104" s="129">
        <f>IFERROR(VLOOKUP(CONCATENATE($Q$3,"_",N104),Punkte_ENV1.1!$A$2:$P$1030,8,FALSE)*(VLOOKUP(CONCATENATE($Q$3,"_",N104),Punkte_ENV1.1!$A$2:$P$1030,9,FALSE)*$I$12+VLOOKUP(CONCATENATE($Q$3,"_",N104),Punkte_ENV1.1!$A$2:$P$1030,10,FALSE)*$I$17),"")</f>
        <v>9.5478141920231838E-3</v>
      </c>
      <c r="P104" s="129">
        <f t="shared" si="33"/>
        <v>3.5615483351967869E-3</v>
      </c>
      <c r="Q104" s="147" t="b">
        <f t="shared" si="22"/>
        <v>0</v>
      </c>
      <c r="R104" s="188">
        <v>30</v>
      </c>
      <c r="S104" s="189">
        <f>IFERROR(VLOOKUP(CONCATENATE($Q$3,"_",R104),Punkte_ENV1.1!$A$2:$P$1030,11,FALSE)*(VLOOKUP(CONCATENATE($Q$3,"_",R104),Punkte_ENV1.1!$A$2:$P$1030,12,FALSE)*$J$12+VLOOKUP(CONCATENATE($Q$3,"_",R104),Punkte_ENV1.1!$A$2:$P$1030,13,FALSE)*$J$17),"")</f>
        <v>8.9451729390680995E-2</v>
      </c>
      <c r="T104" s="189">
        <f t="shared" si="23"/>
        <v>1.3338706847547913E-2</v>
      </c>
      <c r="U104" s="190" t="b">
        <f t="shared" si="24"/>
        <v>0</v>
      </c>
      <c r="V104" s="188">
        <v>30</v>
      </c>
      <c r="W104" s="189">
        <f>IFERROR(VLOOKUP(CONCATENATE($Q$3,"_",V104),Punkte_ENV1.1!$A$2:$P$1030,14,FALSE)*(VLOOKUP(CONCATENATE($Q$3,"_",V104),Punkte_ENV1.1!$A$2:$P$1030,15,FALSE)*$K$12+VLOOKUP(CONCATENATE($Q$3,"_",V104),Punkte_ENV1.1!$A$2:$P$1030,16,FALSE)*$K$17),"")</f>
        <v>1.2492637713210807E-2</v>
      </c>
      <c r="X104" s="189">
        <f t="shared" si="25"/>
        <v>2.151444384077981E-3</v>
      </c>
      <c r="Y104" s="190" t="b">
        <f t="shared" si="26"/>
        <v>0</v>
      </c>
      <c r="Z104" s="191">
        <v>30</v>
      </c>
      <c r="AA104" s="192">
        <f>IFERROR(VLOOKUP(CONCATENATE($Q$3,"_",Z104),Punkte_PENE!$A$2:$D$1026,2,FALSE)*(VLOOKUP(CONCATENATE($Q$3,"_",Z104),Punkte_PENE!$A$2:$D$1026,3,FALSE)*$L$12+VLOOKUP(CONCATENATE($Q$3,"_",Z104),Punkte_PENE!$A$2:$D$1026,4,FALSE)*$L$17),"")</f>
        <v>576.24685172475142</v>
      </c>
      <c r="AB104" s="192">
        <f t="shared" si="27"/>
        <v>-22.619451073291287</v>
      </c>
      <c r="AC104" s="190" t="b">
        <f t="shared" si="28"/>
        <v>0</v>
      </c>
      <c r="AD104" s="191">
        <v>15</v>
      </c>
      <c r="AE104" s="192" t="str">
        <f>IFERROR(VLOOKUP(CONCATENATE($Q$3,"_",AD104),Punkte_PEGES!$A$2:$D$1029,2,FALSE)*(VLOOKUP(CONCATENATE($Q$3,"_",AD104),Punkte_PEGES!$A$2:$D$1029,3,FALSE)*$M$12+VLOOKUP(CONCATENATE($Q$3,"_",AD104),Punkte_PEGES!$A$2:$D$1029,4,FALSE)*$M$17),"")</f>
        <v/>
      </c>
      <c r="AF104" s="192" t="str">
        <f t="shared" si="29"/>
        <v/>
      </c>
      <c r="AG104" s="190" t="str">
        <f t="shared" si="18"/>
        <v/>
      </c>
      <c r="AH104" s="191">
        <v>15</v>
      </c>
      <c r="AI104" s="192" t="str">
        <f>IFERROR(VLOOKUP(CONCATENATE($Q$3,"_",AH104),Punkte_PEE!$A$2:$B$1028,2,FALSE),"")</f>
        <v/>
      </c>
      <c r="AJ104" s="192" t="str">
        <f t="shared" si="30"/>
        <v/>
      </c>
      <c r="AK104" s="190" t="str">
        <f t="shared" si="34"/>
        <v/>
      </c>
      <c r="AL104" s="187"/>
    </row>
    <row r="105" spans="1:38" hidden="1" outlineLevel="1" x14ac:dyDescent="0.2">
      <c r="A105" s="142"/>
      <c r="B105" s="126"/>
      <c r="C105" s="126"/>
      <c r="D105" s="126"/>
      <c r="E105" s="126"/>
      <c r="F105" s="130">
        <v>40</v>
      </c>
      <c r="G105" s="126">
        <f>IFERROR(VLOOKUP(CONCATENATE($Q$3,"_",F105),Punkte_ENV1.1!$A$2:$P$1030,2,FALSE)*(VLOOKUP(CONCATENATE($Q$3,"_",F105),Punkte_ENV1.1!$A$2:$P$1030,3,FALSE)*$G$12+VLOOKUP(CONCATENATE($Q$3,"_",F105),Punkte_ENV1.1!$A$2:$P$1030,4,FALSE)*$G$17),"")</f>
        <v>38.602341188133913</v>
      </c>
      <c r="H105" s="126">
        <f t="shared" si="31"/>
        <v>1.7271635724347139</v>
      </c>
      <c r="I105" s="147" t="b">
        <f t="shared" si="20"/>
        <v>0</v>
      </c>
      <c r="J105" s="130">
        <v>40</v>
      </c>
      <c r="K105" s="129">
        <f>IFERROR(VLOOKUP(CONCATENATE($Q$3,"_",J105),Punkte_ENV1.1!$A$2:$P$1030,5,FALSE)*(VLOOKUP(CONCATENATE($Q$3,"_",J105),Punkte_ENV1.1!$A$2:$P$1030,6,FALSE)*$H$12+VLOOKUP(CONCATENATE($Q$3,"_",J105),Punkte_ENV1.1!$A$2:$P$1030,7,FALSE)*$H$17),"")</f>
        <v>0</v>
      </c>
      <c r="L105" s="129">
        <f t="shared" si="32"/>
        <v>-1.2303519054244413E-7</v>
      </c>
      <c r="M105" s="147" t="b">
        <f t="shared" si="21"/>
        <v>0</v>
      </c>
      <c r="N105" s="130">
        <v>40</v>
      </c>
      <c r="O105" s="129">
        <f>IFERROR(VLOOKUP(CONCATENATE($Q$3,"_",N105),Punkte_ENV1.1!$A$2:$P$1030,8,FALSE)*(VLOOKUP(CONCATENATE($Q$3,"_",N105),Punkte_ENV1.1!$A$2:$P$1030,9,FALSE)*$I$12+VLOOKUP(CONCATENATE($Q$3,"_",N105),Punkte_ENV1.1!$A$2:$P$1030,10,FALSE)*$I$17),"")</f>
        <v>7.6382513536185463E-3</v>
      </c>
      <c r="P105" s="129">
        <f t="shared" si="33"/>
        <v>3.5615483351967869E-3</v>
      </c>
      <c r="Q105" s="147" t="b">
        <f t="shared" si="22"/>
        <v>0</v>
      </c>
      <c r="R105" s="188">
        <v>40</v>
      </c>
      <c r="S105" s="189">
        <f>IFERROR(VLOOKUP(CONCATENATE($Q$3,"_",R105),Punkte_ENV1.1!$A$2:$P$1030,11,FALSE)*(VLOOKUP(CONCATENATE($Q$3,"_",R105),Punkte_ENV1.1!$A$2:$P$1030,12,FALSE)*$J$12+VLOOKUP(CONCATENATE($Q$3,"_",R105),Punkte_ENV1.1!$A$2:$P$1030,13,FALSE)*$J$17),"")</f>
        <v>7.6129131396324254E-2</v>
      </c>
      <c r="T105" s="189">
        <f t="shared" si="23"/>
        <v>1.3338706847547913E-2</v>
      </c>
      <c r="U105" s="190" t="b">
        <f t="shared" si="24"/>
        <v>0</v>
      </c>
      <c r="V105" s="188">
        <v>40</v>
      </c>
      <c r="W105" s="189">
        <f>IFERROR(VLOOKUP(CONCATENATE($Q$3,"_",V105),Punkte_ENV1.1!$A$2:$P$1030,14,FALSE)*(VLOOKUP(CONCATENATE($Q$3,"_",V105),Punkte_ENV1.1!$A$2:$P$1030,15,FALSE)*$K$12+VLOOKUP(CONCATENATE($Q$3,"_",V105),Punkte_ENV1.1!$A$2:$P$1030,16,FALSE)*$K$17),"")</f>
        <v>9.9941101705686465E-3</v>
      </c>
      <c r="X105" s="189">
        <f t="shared" si="25"/>
        <v>2.151444384077981E-3</v>
      </c>
      <c r="Y105" s="190" t="b">
        <f t="shared" si="26"/>
        <v>0</v>
      </c>
      <c r="Z105" s="191">
        <v>40</v>
      </c>
      <c r="AA105" s="192">
        <f>IFERROR(VLOOKUP(CONCATENATE($Q$3,"_",Z105),Punkte_PENE!$A$2:$D$1026,2,FALSE)*(VLOOKUP(CONCATENATE($Q$3,"_",Z105),Punkte_PENE!$A$2:$D$1026,3,FALSE)*$L$12+VLOOKUP(CONCATENATE($Q$3,"_",Z105),Punkte_PENE!$A$2:$D$1026,4,FALSE)*$L$17),"")</f>
        <v>523.86077429522857</v>
      </c>
      <c r="AB105" s="192">
        <f t="shared" si="27"/>
        <v>-22.619451073291287</v>
      </c>
      <c r="AC105" s="190" t="b">
        <f t="shared" si="28"/>
        <v>0</v>
      </c>
      <c r="AD105" s="191">
        <v>20</v>
      </c>
      <c r="AE105" s="192" t="str">
        <f>IFERROR(VLOOKUP(CONCATENATE($Q$3,"_",AD105),Punkte_PEGES!$A$2:$D$1029,2,FALSE)*(VLOOKUP(CONCATENATE($Q$3,"_",AD105),Punkte_PEGES!$A$2:$D$1029,3,FALSE)*$M$12+VLOOKUP(CONCATENATE($Q$3,"_",AD105),Punkte_PEGES!$A$2:$D$1029,4,FALSE)*$M$17),"")</f>
        <v/>
      </c>
      <c r="AF105" s="192" t="str">
        <f t="shared" si="29"/>
        <v/>
      </c>
      <c r="AG105" s="190" t="str">
        <f t="shared" si="18"/>
        <v/>
      </c>
      <c r="AH105" s="191">
        <v>20</v>
      </c>
      <c r="AI105" s="192" t="str">
        <f>IFERROR(VLOOKUP(CONCATENATE($Q$3,"_",AH105),Punkte_PEE!$A$2:$B$1028,2,FALSE),"")</f>
        <v/>
      </c>
      <c r="AJ105" s="192" t="str">
        <f t="shared" si="30"/>
        <v/>
      </c>
      <c r="AK105" s="190" t="str">
        <f t="shared" si="34"/>
        <v/>
      </c>
      <c r="AL105" s="187"/>
    </row>
    <row r="106" spans="1:38" hidden="1" outlineLevel="1" x14ac:dyDescent="0.2">
      <c r="A106" s="142"/>
      <c r="B106" s="126"/>
      <c r="C106" s="126"/>
      <c r="D106" s="126"/>
      <c r="E106" s="126"/>
      <c r="F106" s="130">
        <v>50</v>
      </c>
      <c r="G106" s="126" t="str">
        <f>IFERROR(VLOOKUP(CONCATENATE($Q$3,"_",F106),Punkte_ENV1.1!$A$2:$P$1030,2,FALSE)*(VLOOKUP(CONCATENATE($Q$3,"_",F106),Punkte_ENV1.1!$A$2:$P$1030,3,FALSE)*$G$12+VLOOKUP(CONCATENATE($Q$3,"_",F106),Punkte_ENV1.1!$A$2:$P$1030,4,FALSE)*$G$17),"")</f>
        <v/>
      </c>
      <c r="H106" s="126" t="str">
        <f t="shared" si="31"/>
        <v/>
      </c>
      <c r="I106" s="147" t="str">
        <f t="shared" si="20"/>
        <v/>
      </c>
      <c r="J106" s="130">
        <v>50</v>
      </c>
      <c r="K106" s="129" t="str">
        <f>IFERROR(VLOOKUP(CONCATENATE($Q$3,"_",J106),Punkte_ENV1.1!$A$2:$P$1030,5,FALSE)*(VLOOKUP(CONCATENATE($Q$3,"_",J106),Punkte_ENV1.1!$A$2:$P$1030,6,FALSE)*$H$12+VLOOKUP(CONCATENATE($Q$3,"_",J106),Punkte_ENV1.1!$A$2:$P$1030,7,FALSE)*$H$17),"")</f>
        <v/>
      </c>
      <c r="L106" s="129" t="str">
        <f t="shared" si="32"/>
        <v/>
      </c>
      <c r="M106" s="147" t="str">
        <f t="shared" si="21"/>
        <v/>
      </c>
      <c r="N106" s="130">
        <v>50</v>
      </c>
      <c r="O106" s="129" t="str">
        <f>IFERROR(VLOOKUP(CONCATENATE($Q$3,"_",N106),Punkte_ENV1.1!$A$2:$P$1030,8,FALSE)*(VLOOKUP(CONCATENATE($Q$3,"_",N106),Punkte_ENV1.1!$A$2:$P$1030,9,FALSE)*$I$12+VLOOKUP(CONCATENATE($Q$3,"_",N106),Punkte_ENV1.1!$A$2:$P$1030,10,FALSE)*$I$17),"")</f>
        <v/>
      </c>
      <c r="P106" s="129" t="str">
        <f t="shared" si="33"/>
        <v/>
      </c>
      <c r="Q106" s="147" t="str">
        <f t="shared" si="22"/>
        <v/>
      </c>
      <c r="R106" s="188">
        <v>50</v>
      </c>
      <c r="S106" s="189" t="str">
        <f>IFERROR(VLOOKUP(CONCATENATE($Q$3,"_",R106),Punkte_ENV1.1!$A$2:$P$1030,11,FALSE)*(VLOOKUP(CONCATENATE($Q$3,"_",R106),Punkte_ENV1.1!$A$2:$P$1030,12,FALSE)*$J$12+VLOOKUP(CONCATENATE($Q$3,"_",R106),Punkte_ENV1.1!$A$2:$P$1030,13,FALSE)*$J$17),"")</f>
        <v/>
      </c>
      <c r="T106" s="189" t="str">
        <f t="shared" si="23"/>
        <v/>
      </c>
      <c r="U106" s="190" t="str">
        <f t="shared" si="24"/>
        <v/>
      </c>
      <c r="V106" s="188">
        <v>50</v>
      </c>
      <c r="W106" s="189" t="str">
        <f>IFERROR(VLOOKUP(CONCATENATE($Q$3,"_",V106),Punkte_ENV1.1!$A$2:$P$1030,14,FALSE)*(VLOOKUP(CONCATENATE($Q$3,"_",V106),Punkte_ENV1.1!$A$2:$P$1030,15,FALSE)*$K$12+VLOOKUP(CONCATENATE($Q$3,"_",V106),Punkte_ENV1.1!$A$2:$P$1030,16,FALSE)*$K$17),"")</f>
        <v/>
      </c>
      <c r="X106" s="189" t="str">
        <f t="shared" si="25"/>
        <v/>
      </c>
      <c r="Y106" s="190" t="str">
        <f t="shared" si="26"/>
        <v/>
      </c>
      <c r="Z106" s="191">
        <v>50</v>
      </c>
      <c r="AA106" s="192" t="str">
        <f>IFERROR(VLOOKUP(CONCATENATE($Q$3,"_",Z106),Punkte_PENE!$A$2:$D$1026,2,FALSE)*(VLOOKUP(CONCATENATE($Q$3,"_",Z106),Punkte_PENE!$A$2:$D$1026,3,FALSE)*$L$12+VLOOKUP(CONCATENATE($Q$3,"_",Z106),Punkte_PENE!$A$2:$D$1026,4,FALSE)*$L$17),"")</f>
        <v/>
      </c>
      <c r="AB106" s="192" t="str">
        <f t="shared" si="27"/>
        <v/>
      </c>
      <c r="AC106" s="190" t="str">
        <f t="shared" si="28"/>
        <v/>
      </c>
      <c r="AD106" s="191">
        <v>25</v>
      </c>
      <c r="AE106" s="192" t="str">
        <f>IFERROR(VLOOKUP(CONCATENATE($Q$3,"_",AD106),Punkte_PEGES!$A$2:$D$1029,2,FALSE)*(VLOOKUP(CONCATENATE($Q$3,"_",AD106),Punkte_PEGES!$A$2:$D$1029,3,FALSE)*$M$12+VLOOKUP(CONCATENATE($Q$3,"_",AD106),Punkte_PEGES!$A$2:$D$1029,4,FALSE)*$M$17),"")</f>
        <v/>
      </c>
      <c r="AF106" s="192" t="str">
        <f t="shared" si="29"/>
        <v/>
      </c>
      <c r="AG106" s="190" t="str">
        <f t="shared" si="18"/>
        <v/>
      </c>
      <c r="AH106" s="191">
        <v>25</v>
      </c>
      <c r="AI106" s="192" t="str">
        <f>IFERROR(VLOOKUP(CONCATENATE($Q$3,"_",AH106),Punkte_PEE!$A$2:$B$1028,2,FALSE),"")</f>
        <v/>
      </c>
      <c r="AJ106" s="192" t="str">
        <f t="shared" si="30"/>
        <v/>
      </c>
      <c r="AK106" s="190" t="str">
        <f t="shared" si="34"/>
        <v/>
      </c>
      <c r="AL106" s="187"/>
    </row>
    <row r="107" spans="1:38" hidden="1" outlineLevel="1" x14ac:dyDescent="0.2">
      <c r="A107" s="142"/>
      <c r="B107" s="126"/>
      <c r="C107" s="126"/>
      <c r="D107" s="126"/>
      <c r="E107" s="126"/>
      <c r="F107" s="130">
        <v>60</v>
      </c>
      <c r="G107" s="126">
        <f>IFERROR(VLOOKUP(CONCATENATE($Q$3,"_",F107),Punkte_ENV1.1!$A$2:$P$1030,2,FALSE)*(VLOOKUP(CONCATENATE($Q$3,"_",F107),Punkte_ENV1.1!$A$2:$P$1030,3,FALSE)*$G$12+VLOOKUP(CONCATENATE($Q$3,"_",F107),Punkte_ENV1.1!$A$2:$P$1030,4,FALSE)*$G$17),"")</f>
        <v>32.811990009913828</v>
      </c>
      <c r="H107" s="126">
        <f t="shared" si="31"/>
        <v>1.7271635724347139</v>
      </c>
      <c r="I107" s="147" t="b">
        <f t="shared" si="20"/>
        <v>0</v>
      </c>
      <c r="J107" s="130">
        <v>60</v>
      </c>
      <c r="K107" s="129">
        <f>IFERROR(VLOOKUP(CONCATENATE($Q$3,"_",J107),Punkte_ENV1.1!$A$2:$P$1030,5,FALSE)*(VLOOKUP(CONCATENATE($Q$3,"_",J107),Punkte_ENV1.1!$A$2:$P$1030,6,FALSE)*$H$12+VLOOKUP(CONCATENATE($Q$3,"_",J107),Punkte_ENV1.1!$A$2:$P$1030,7,FALSE)*$H$17),"")</f>
        <v>0</v>
      </c>
      <c r="L107" s="129">
        <f t="shared" si="32"/>
        <v>-1.2303519054244413E-7</v>
      </c>
      <c r="M107" s="147" t="b">
        <f t="shared" si="21"/>
        <v>0</v>
      </c>
      <c r="N107" s="130">
        <v>60</v>
      </c>
      <c r="O107" s="129">
        <f>IFERROR(VLOOKUP(CONCATENATE($Q$3,"_",N107),Punkte_ENV1.1!$A$2:$P$1030,8,FALSE)*(VLOOKUP(CONCATENATE($Q$3,"_",N107),Punkte_ENV1.1!$A$2:$P$1030,9,FALSE)*$I$12+VLOOKUP(CONCATENATE($Q$3,"_",N107),Punkte_ENV1.1!$A$2:$P$1030,10,FALSE)*$I$17),"")</f>
        <v>6.4925136505757644E-3</v>
      </c>
      <c r="P107" s="129">
        <f t="shared" si="33"/>
        <v>3.5615483351967869E-3</v>
      </c>
      <c r="Q107" s="147" t="b">
        <f t="shared" si="22"/>
        <v>0</v>
      </c>
      <c r="R107" s="188">
        <v>60</v>
      </c>
      <c r="S107" s="189">
        <f>IFERROR(VLOOKUP(CONCATENATE($Q$3,"_",R107),Punkte_ENV1.1!$A$2:$P$1030,11,FALSE)*(VLOOKUP(CONCATENATE($Q$3,"_",R107),Punkte_ENV1.1!$A$2:$P$1030,12,FALSE)*$J$12+VLOOKUP(CONCATENATE($Q$3,"_",R107),Punkte_ENV1.1!$A$2:$P$1030,13,FALSE)*$J$17),"")</f>
        <v>6.4709761686875616E-2</v>
      </c>
      <c r="T107" s="189">
        <f t="shared" si="23"/>
        <v>1.3338706847547913E-2</v>
      </c>
      <c r="U107" s="190" t="b">
        <f t="shared" si="24"/>
        <v>0</v>
      </c>
      <c r="V107" s="188">
        <v>60</v>
      </c>
      <c r="W107" s="189">
        <f>IFERROR(VLOOKUP(CONCATENATE($Q$3,"_",V107),Punkte_ENV1.1!$A$2:$P$1030,14,FALSE)*(VLOOKUP(CONCATENATE($Q$3,"_",V107),Punkte_ENV1.1!$A$2:$P$1030,15,FALSE)*$K$12+VLOOKUP(CONCATENATE($Q$3,"_",V107),Punkte_ENV1.1!$A$2:$P$1030,16,FALSE)*$K$17),"")</f>
        <v>8.494993644983349E-3</v>
      </c>
      <c r="X107" s="189">
        <f t="shared" si="25"/>
        <v>2.151444384077981E-3</v>
      </c>
      <c r="Y107" s="190" t="b">
        <f t="shared" si="26"/>
        <v>0</v>
      </c>
      <c r="Z107" s="191">
        <v>60</v>
      </c>
      <c r="AA107" s="192">
        <f>IFERROR(VLOOKUP(CONCATENATE($Q$3,"_",Z107),Punkte_PENE!$A$2:$D$1026,2,FALSE)*(VLOOKUP(CONCATENATE($Q$3,"_",Z107),Punkte_PENE!$A$2:$D$1026,3,FALSE)*$L$12+VLOOKUP(CONCATENATE($Q$3,"_",Z107),Punkte_PENE!$A$2:$D$1026,4,FALSE)*$L$17),"")</f>
        <v>445.28165815094428</v>
      </c>
      <c r="AB107" s="192">
        <f t="shared" si="27"/>
        <v>-22.619451073291287</v>
      </c>
      <c r="AC107" s="190" t="b">
        <f t="shared" si="28"/>
        <v>0</v>
      </c>
      <c r="AD107" s="191">
        <v>30</v>
      </c>
      <c r="AE107" s="192">
        <f>IFERROR(VLOOKUP(CONCATENATE($Q$3,"_",AD107),Punkte_PEGES!$A$2:$D$1029,2,FALSE)*(VLOOKUP(CONCATENATE($Q$3,"_",AD107),Punkte_PEGES!$A$2:$D$1029,3,FALSE)*$M$12+VLOOKUP(CONCATENATE($Q$3,"_",AD107),Punkte_PEGES!$A$2:$D$1029,4,FALSE)*$M$17),"")</f>
        <v>763.8459671064337</v>
      </c>
      <c r="AF107" s="192">
        <f t="shared" si="29"/>
        <v>97.654811491625523</v>
      </c>
      <c r="AG107" s="190" t="b">
        <f t="shared" si="18"/>
        <v>0</v>
      </c>
      <c r="AH107" s="191">
        <v>30</v>
      </c>
      <c r="AI107" s="192">
        <f>IFERROR(VLOOKUP(CONCATENATE($Q$3,"_",AH107),Punkte_PEE!$A$2:$B$1028,2,FALSE),"")</f>
        <v>12.5</v>
      </c>
      <c r="AJ107" s="192">
        <f t="shared" si="30"/>
        <v>123.16265909256406</v>
      </c>
      <c r="AK107" s="190" t="b">
        <f t="shared" si="34"/>
        <v>0</v>
      </c>
      <c r="AL107" s="187"/>
    </row>
    <row r="108" spans="1:38" hidden="1" outlineLevel="1" x14ac:dyDescent="0.2">
      <c r="A108" s="142"/>
      <c r="B108" s="126"/>
      <c r="C108" s="126"/>
      <c r="D108" s="126"/>
      <c r="E108" s="126"/>
      <c r="F108" s="130">
        <v>70</v>
      </c>
      <c r="G108" s="126" t="str">
        <f>IFERROR(VLOOKUP(CONCATENATE($Q$3,"_",F108),Punkte_ENV1.1!$A$2:$P$1030,2,FALSE)*(VLOOKUP(CONCATENATE($Q$3,"_",F108),Punkte_ENV1.1!$A$2:$P$1030,3,FALSE)*$G$12+VLOOKUP(CONCATENATE($Q$3,"_",F108),Punkte_ENV1.1!$A$2:$P$1030,4,FALSE)*$G$17),"")</f>
        <v/>
      </c>
      <c r="H108" s="126" t="str">
        <f t="shared" si="31"/>
        <v/>
      </c>
      <c r="I108" s="147" t="str">
        <f t="shared" si="20"/>
        <v/>
      </c>
      <c r="J108" s="130">
        <v>70</v>
      </c>
      <c r="K108" s="129" t="str">
        <f>IFERROR(VLOOKUP(CONCATENATE($Q$3,"_",J108),Punkte_ENV1.1!$A$2:$P$1030,5,FALSE)*(VLOOKUP(CONCATENATE($Q$3,"_",J108),Punkte_ENV1.1!$A$2:$P$1030,6,FALSE)*$H$12+VLOOKUP(CONCATENATE($Q$3,"_",J108),Punkte_ENV1.1!$A$2:$P$1030,7,FALSE)*$H$17),"")</f>
        <v/>
      </c>
      <c r="L108" s="129" t="str">
        <f t="shared" si="32"/>
        <v/>
      </c>
      <c r="M108" s="147" t="str">
        <f t="shared" si="21"/>
        <v/>
      </c>
      <c r="N108" s="130">
        <v>70</v>
      </c>
      <c r="O108" s="129" t="str">
        <f>IFERROR(VLOOKUP(CONCATENATE($Q$3,"_",N108),Punkte_ENV1.1!$A$2:$P$1030,8,FALSE)*(VLOOKUP(CONCATENATE($Q$3,"_",N108),Punkte_ENV1.1!$A$2:$P$1030,9,FALSE)*$I$12+VLOOKUP(CONCATENATE($Q$3,"_",N108),Punkte_ENV1.1!$A$2:$P$1030,10,FALSE)*$I$17),"")</f>
        <v/>
      </c>
      <c r="P108" s="129" t="str">
        <f t="shared" si="33"/>
        <v/>
      </c>
      <c r="Q108" s="147" t="str">
        <f t="shared" si="22"/>
        <v/>
      </c>
      <c r="R108" s="188">
        <v>70</v>
      </c>
      <c r="S108" s="189" t="str">
        <f>IFERROR(VLOOKUP(CONCATENATE($Q$3,"_",R108),Punkte_ENV1.1!$A$2:$P$1030,11,FALSE)*(VLOOKUP(CONCATENATE($Q$3,"_",R108),Punkte_ENV1.1!$A$2:$P$1030,12,FALSE)*$J$12+VLOOKUP(CONCATENATE($Q$3,"_",R108),Punkte_ENV1.1!$A$2:$P$1030,13,FALSE)*$J$17),"")</f>
        <v/>
      </c>
      <c r="T108" s="189" t="str">
        <f t="shared" si="23"/>
        <v/>
      </c>
      <c r="U108" s="190" t="str">
        <f t="shared" si="24"/>
        <v/>
      </c>
      <c r="V108" s="188">
        <v>70</v>
      </c>
      <c r="W108" s="189" t="str">
        <f>IFERROR(VLOOKUP(CONCATENATE($Q$3,"_",V108),Punkte_ENV1.1!$A$2:$P$1030,14,FALSE)*(VLOOKUP(CONCATENATE($Q$3,"_",V108),Punkte_ENV1.1!$A$2:$P$1030,15,FALSE)*$K$12+VLOOKUP(CONCATENATE($Q$3,"_",V108),Punkte_ENV1.1!$A$2:$P$1030,16,FALSE)*$K$17),"")</f>
        <v/>
      </c>
      <c r="X108" s="189" t="str">
        <f t="shared" si="25"/>
        <v/>
      </c>
      <c r="Y108" s="190" t="str">
        <f t="shared" si="26"/>
        <v/>
      </c>
      <c r="Z108" s="191">
        <v>70</v>
      </c>
      <c r="AA108" s="192" t="str">
        <f>IFERROR(VLOOKUP(CONCATENATE($Q$3,"_",Z108),Punkte_PENE!$A$2:$D$1026,2,FALSE)*(VLOOKUP(CONCATENATE($Q$3,"_",Z108),Punkte_PENE!$A$2:$D$1026,3,FALSE)*$L$12+VLOOKUP(CONCATENATE($Q$3,"_",Z108),Punkte_PENE!$A$2:$D$1026,4,FALSE)*$L$17),"")</f>
        <v/>
      </c>
      <c r="AB108" s="192" t="str">
        <f t="shared" si="27"/>
        <v/>
      </c>
      <c r="AC108" s="190" t="str">
        <f t="shared" si="28"/>
        <v/>
      </c>
      <c r="AD108" s="191">
        <v>35</v>
      </c>
      <c r="AE108" s="192" t="str">
        <f>IFERROR(VLOOKUP(CONCATENATE($Q$3,"_",AD108),Punkte_PEGES!$A$2:$D$1029,2,FALSE)*(VLOOKUP(CONCATENATE($Q$3,"_",AD108),Punkte_PEGES!$A$2:$D$1029,3,FALSE)*$M$12+VLOOKUP(CONCATENATE($Q$3,"_",AD108),Punkte_PEGES!$A$2:$D$1029,4,FALSE)*$M$17),"")</f>
        <v/>
      </c>
      <c r="AF108" s="192" t="str">
        <f t="shared" si="29"/>
        <v/>
      </c>
      <c r="AG108" s="190" t="str">
        <f t="shared" si="18"/>
        <v/>
      </c>
      <c r="AH108" s="191">
        <v>35</v>
      </c>
      <c r="AI108" s="192" t="str">
        <f>IFERROR(VLOOKUP(CONCATENATE($Q$3,"_",AH108),Punkte_PEE!$A$2:$B$1028,2,FALSE),"")</f>
        <v/>
      </c>
      <c r="AJ108" s="192" t="str">
        <f t="shared" si="30"/>
        <v/>
      </c>
      <c r="AK108" s="190" t="str">
        <f t="shared" si="34"/>
        <v/>
      </c>
      <c r="AL108" s="187"/>
    </row>
    <row r="109" spans="1:38" hidden="1" outlineLevel="1" x14ac:dyDescent="0.2">
      <c r="A109" s="142"/>
      <c r="B109" s="126"/>
      <c r="C109" s="126"/>
      <c r="D109" s="126"/>
      <c r="E109" s="126"/>
      <c r="F109" s="130">
        <v>75</v>
      </c>
      <c r="G109" s="126" t="str">
        <f>IFERROR(VLOOKUP(CONCATENATE($Q$3,"_",F109),Punkte_ENV1.1!$A$2:$P$1030,2,FALSE)*(VLOOKUP(CONCATENATE($Q$3,"_",F109),Punkte_ENV1.1!$A$2:$P$1030,3,FALSE)*$G$12+VLOOKUP(CONCATENATE($Q$3,"_",F109),Punkte_ENV1.1!$A$2:$P$1030,4,FALSE)*$G$17),"")</f>
        <v/>
      </c>
      <c r="H109" s="126" t="str">
        <f t="shared" si="31"/>
        <v/>
      </c>
      <c r="I109" s="147" t="str">
        <f t="shared" si="20"/>
        <v/>
      </c>
      <c r="J109" s="130">
        <v>75</v>
      </c>
      <c r="K109" s="129" t="str">
        <f>IFERROR(VLOOKUP(CONCATENATE($Q$3,"_",J109),Punkte_ENV1.1!$A$2:$P$1030,5,FALSE)*(VLOOKUP(CONCATENATE($Q$3,"_",J109),Punkte_ENV1.1!$A$2:$P$1030,6,FALSE)*$H$12+VLOOKUP(CONCATENATE($Q$3,"_",J109),Punkte_ENV1.1!$A$2:$P$1030,7,FALSE)*$H$17),"")</f>
        <v/>
      </c>
      <c r="L109" s="129" t="str">
        <f t="shared" si="32"/>
        <v/>
      </c>
      <c r="M109" s="147" t="str">
        <f t="shared" si="21"/>
        <v/>
      </c>
      <c r="N109" s="130">
        <v>75</v>
      </c>
      <c r="O109" s="129" t="str">
        <f>IFERROR(VLOOKUP(CONCATENATE($Q$3,"_",N109),Punkte_ENV1.1!$A$2:$P$1030,8,FALSE)*(VLOOKUP(CONCATENATE($Q$3,"_",N109),Punkte_ENV1.1!$A$2:$P$1030,9,FALSE)*$I$12+VLOOKUP(CONCATENATE($Q$3,"_",N109),Punkte_ENV1.1!$A$2:$P$1030,10,FALSE)*$I$17),"")</f>
        <v/>
      </c>
      <c r="P109" s="129" t="str">
        <f t="shared" si="33"/>
        <v/>
      </c>
      <c r="Q109" s="147" t="str">
        <f t="shared" si="22"/>
        <v/>
      </c>
      <c r="R109" s="188">
        <v>75</v>
      </c>
      <c r="S109" s="189" t="str">
        <f>IFERROR(VLOOKUP(CONCATENATE($Q$3,"_",R109),Punkte_ENV1.1!$A$2:$P$1030,11,FALSE)*(VLOOKUP(CONCATENATE($Q$3,"_",R109),Punkte_ENV1.1!$A$2:$P$1030,12,FALSE)*$J$12+VLOOKUP(CONCATENATE($Q$3,"_",R109),Punkte_ENV1.1!$A$2:$P$1030,13,FALSE)*$J$17),"")</f>
        <v/>
      </c>
      <c r="T109" s="189" t="str">
        <f t="shared" si="23"/>
        <v/>
      </c>
      <c r="U109" s="190" t="str">
        <f t="shared" si="24"/>
        <v/>
      </c>
      <c r="V109" s="188">
        <v>75</v>
      </c>
      <c r="W109" s="189" t="str">
        <f>IFERROR(VLOOKUP(CONCATENATE($Q$3,"_",V109),Punkte_ENV1.1!$A$2:$P$1030,14,FALSE)*(VLOOKUP(CONCATENATE($Q$3,"_",V109),Punkte_ENV1.1!$A$2:$P$1030,15,FALSE)*$K$12+VLOOKUP(CONCATENATE($Q$3,"_",V109),Punkte_ENV1.1!$A$2:$P$1030,16,FALSE)*$K$17),"")</f>
        <v/>
      </c>
      <c r="X109" s="189" t="str">
        <f t="shared" si="25"/>
        <v/>
      </c>
      <c r="Y109" s="190" t="str">
        <f t="shared" si="26"/>
        <v/>
      </c>
      <c r="Z109" s="191">
        <v>75</v>
      </c>
      <c r="AA109" s="192" t="str">
        <f>IFERROR(VLOOKUP(CONCATENATE($Q$3,"_",Z109),Punkte_PENE!$A$2:$D$1026,2,FALSE)*(VLOOKUP(CONCATENATE($Q$3,"_",Z109),Punkte_PENE!$A$2:$D$1026,3,FALSE)*$L$12+VLOOKUP(CONCATENATE($Q$3,"_",Z109),Punkte_PENE!$A$2:$D$1026,4,FALSE)*$L$17),"")</f>
        <v/>
      </c>
      <c r="AB109" s="192" t="str">
        <f t="shared" si="27"/>
        <v/>
      </c>
      <c r="AC109" s="190" t="str">
        <f t="shared" si="28"/>
        <v/>
      </c>
      <c r="AD109" s="191">
        <v>40</v>
      </c>
      <c r="AE109" s="192">
        <f>IFERROR(VLOOKUP(CONCATENATE($Q$3,"_",AD109),Punkte_PEGES!$A$2:$D$1029,2,FALSE)*(VLOOKUP(CONCATENATE($Q$3,"_",AD109),Punkte_PEGES!$A$2:$D$1029,3,FALSE)*$M$12+VLOOKUP(CONCATENATE($Q$3,"_",AD109),Punkte_PEGES!$A$2:$D$1029,4,FALSE)*$M$17),"")</f>
        <v>694.40542464221244</v>
      </c>
      <c r="AF109" s="192">
        <f t="shared" si="29"/>
        <v>97.654811491625523</v>
      </c>
      <c r="AG109" s="190" t="b">
        <f>IF(AF109="","",IF(AND(AE110="",AE111="",AE112="",AE113="",AE114="",AE115="",AE116="",AE117="",AF109&lt;=AE109),AD109,IF(AND(AF110="",AF111="",AF112="",AF113="",AF114="",AF115="",AF116="",AF117=""),IF(AND(AD110&lt;&gt;"",AE110&lt;&gt;""),(AD110-AD109)/(AE110-AE109)*AF109+(AD109*AE110-AD110*AE109)/(AE110-AE109),IF(AND(AD111&lt;&gt;"",AE111&lt;&gt;""),(AD111-AD109)/(AE111-AE109)*AF109+(AD109*AE111-AD111*AE109)/(AE111-AE109),IF(AND(AD112&lt;&gt;"",AE112&lt;&gt;""),(AD112-AD109)/(AE112-AE109)*AF109+(AD109*AE112-AD112*AE109)/(AE112-AE109),IF(AND(AD113&lt;&gt;"",AE113&lt;&gt;""),(AD113-AD109)/(AE113-AE109)*AF109+(AD109*AE113-AD113*AE109)/(AE113-AE109),IF(AND(AD114&lt;&gt;"",AE114&lt;&gt;""),(AD114-AD109)/(AE114-AE109)*AF109+(AD109*AE114-AD114*AE109)/(AE114-AE109),IF(AND(AD115&lt;&gt;"",AE115&lt;&gt;""),(AD115-AD109)/(AE115-AE109)*AF109+(AD109*AE115-AD115*AE109)/(AE115-AE109),IF(AND(AD116&lt;&gt;"",AE116&lt;&gt;""),(AD116-AD109)/(AE116-AE109)*AF109+(AD109*AE116-AD116*AE109)/(AE116-AE109),IF(AND(AD117&lt;&gt;"",AE117&lt;&gt;""),(AD117-AD109)/(AE117-AE109)*AF109+(AD109*AE117-AD117*AE109)/(AE117-AE109),"")))))))))))</f>
        <v>0</v>
      </c>
      <c r="AH109" s="191">
        <v>40</v>
      </c>
      <c r="AI109" s="192">
        <f>IFERROR(VLOOKUP(CONCATENATE($Q$3,"_",AH109),Punkte_PEE!$A$2:$B$1028,2,FALSE),"")</f>
        <v>15</v>
      </c>
      <c r="AJ109" s="192">
        <f t="shared" si="30"/>
        <v>123.16265909256406</v>
      </c>
      <c r="AK109" s="190" t="b">
        <f t="shared" si="34"/>
        <v>0</v>
      </c>
      <c r="AL109" s="187"/>
    </row>
    <row r="110" spans="1:38" hidden="1" outlineLevel="1" x14ac:dyDescent="0.2">
      <c r="A110" s="142"/>
      <c r="B110" s="126"/>
      <c r="C110" s="126"/>
      <c r="D110" s="126"/>
      <c r="E110" s="126"/>
      <c r="F110" s="130">
        <v>80</v>
      </c>
      <c r="G110" s="126">
        <f>IFERROR(VLOOKUP(CONCATENATE($Q$3,"_",F110),Punkte_ENV1.1!$A$2:$P$1030,2,FALSE)*(VLOOKUP(CONCATENATE($Q$3,"_",F110),Punkte_ENV1.1!$A$2:$P$1030,3,FALSE)*$G$12+VLOOKUP(CONCATENATE($Q$3,"_",F110),Punkte_ENV1.1!$A$2:$P$1030,4,FALSE)*$G$17),"")</f>
        <v>27.021638831693739</v>
      </c>
      <c r="H110" s="126">
        <f t="shared" si="31"/>
        <v>1.7271635724347139</v>
      </c>
      <c r="I110" s="147" t="b">
        <f t="shared" si="20"/>
        <v>0</v>
      </c>
      <c r="J110" s="130">
        <v>80</v>
      </c>
      <c r="K110" s="129">
        <f>IFERROR(VLOOKUP(CONCATENATE($Q$3,"_",J110),Punkte_ENV1.1!$A$2:$P$1030,5,FALSE)*(VLOOKUP(CONCATENATE($Q$3,"_",J110),Punkte_ENV1.1!$A$2:$P$1030,6,FALSE)*$H$12+VLOOKUP(CONCATENATE($Q$3,"_",J110),Punkte_ENV1.1!$A$2:$P$1030,7,FALSE)*$H$17),"")</f>
        <v>0</v>
      </c>
      <c r="L110" s="129">
        <f t="shared" si="32"/>
        <v>-1.2303519054244413E-7</v>
      </c>
      <c r="M110" s="147" t="b">
        <f t="shared" si="21"/>
        <v>0</v>
      </c>
      <c r="N110" s="130">
        <v>80</v>
      </c>
      <c r="O110" s="129">
        <f>IFERROR(VLOOKUP(CONCATENATE($Q$3,"_",N110),Punkte_ENV1.1!$A$2:$P$1030,8,FALSE)*(VLOOKUP(CONCATENATE($Q$3,"_",N110),Punkte_ENV1.1!$A$2:$P$1030,9,FALSE)*$I$12+VLOOKUP(CONCATENATE($Q$3,"_",N110),Punkte_ENV1.1!$A$2:$P$1030,10,FALSE)*$I$17),"")</f>
        <v>5.3467759475329824E-3</v>
      </c>
      <c r="P110" s="129">
        <f t="shared" si="33"/>
        <v>3.5615483351967869E-3</v>
      </c>
      <c r="Q110" s="147" t="b">
        <f t="shared" si="22"/>
        <v>0</v>
      </c>
      <c r="R110" s="188">
        <v>80</v>
      </c>
      <c r="S110" s="189">
        <f>IFERROR(VLOOKUP(CONCATENATE($Q$3,"_",R110),Punkte_ENV1.1!$A$2:$P$1030,11,FALSE)*(VLOOKUP(CONCATENATE($Q$3,"_",R110),Punkte_ENV1.1!$A$2:$P$1030,12,FALSE)*$J$12+VLOOKUP(CONCATENATE($Q$3,"_",R110),Punkte_ENV1.1!$A$2:$P$1030,13,FALSE)*$J$17),"")</f>
        <v>5.3290391977426972E-2</v>
      </c>
      <c r="T110" s="189">
        <f t="shared" si="23"/>
        <v>1.3338706847547913E-2</v>
      </c>
      <c r="U110" s="190" t="b">
        <f t="shared" si="24"/>
        <v>0</v>
      </c>
      <c r="V110" s="188">
        <v>80</v>
      </c>
      <c r="W110" s="189">
        <f>IFERROR(VLOOKUP(CONCATENATE($Q$3,"_",V110),Punkte_ENV1.1!$A$2:$P$1030,14,FALSE)*(VLOOKUP(CONCATENATE($Q$3,"_",V110),Punkte_ENV1.1!$A$2:$P$1030,15,FALSE)*$K$12+VLOOKUP(CONCATENATE($Q$3,"_",V110),Punkte_ENV1.1!$A$2:$P$1030,16,FALSE)*$K$17),"")</f>
        <v>6.9958771193980524E-3</v>
      </c>
      <c r="X110" s="189">
        <f t="shared" si="25"/>
        <v>2.151444384077981E-3</v>
      </c>
      <c r="Y110" s="190" t="b">
        <f t="shared" si="26"/>
        <v>0</v>
      </c>
      <c r="Z110" s="191">
        <v>80</v>
      </c>
      <c r="AA110" s="192">
        <f>IFERROR(VLOOKUP(CONCATENATE($Q$3,"_",Z110),Punkte_PENE!$A$2:$D$1026,2,FALSE)*(VLOOKUP(CONCATENATE($Q$3,"_",Z110),Punkte_PENE!$A$2:$D$1026,3,FALSE)*$L$12+VLOOKUP(CONCATENATE($Q$3,"_",Z110),Punkte_PENE!$A$2:$D$1026,4,FALSE)*$L$17),"")</f>
        <v>366.70254200666</v>
      </c>
      <c r="AB110" s="192">
        <f t="shared" si="27"/>
        <v>-22.619451073291287</v>
      </c>
      <c r="AC110" s="190" t="b">
        <f t="shared" si="28"/>
        <v>0</v>
      </c>
      <c r="AD110" s="191">
        <v>45</v>
      </c>
      <c r="AE110" s="192" t="str">
        <f>IFERROR(VLOOKUP(CONCATENATE($Q$3,"_",AD110),Punkte_PEGES!$A$2:$D$1029,2,FALSE)*(VLOOKUP(CONCATENATE($Q$3,"_",AD110),Punkte_PEGES!$A$2:$D$1029,3,FALSE)*$M$12+VLOOKUP(CONCATENATE($Q$3,"_",AD110),Punkte_PEGES!$A$2:$D$1029,4,FALSE)*$M$17),"")</f>
        <v/>
      </c>
      <c r="AF110" s="192" t="str">
        <f t="shared" si="29"/>
        <v/>
      </c>
      <c r="AG110" s="190" t="str">
        <f t="shared" si="18"/>
        <v/>
      </c>
      <c r="AH110" s="191">
        <v>45</v>
      </c>
      <c r="AI110" s="192" t="str">
        <f>IFERROR(VLOOKUP(CONCATENATE($Q$3,"_",AH110),Punkte_PEE!$A$2:$B$1028,2,FALSE),"")</f>
        <v/>
      </c>
      <c r="AJ110" s="192" t="str">
        <f t="shared" si="30"/>
        <v/>
      </c>
      <c r="AK110" s="190" t="str">
        <f t="shared" si="34"/>
        <v/>
      </c>
      <c r="AL110" s="187"/>
    </row>
    <row r="111" spans="1:38" hidden="1" outlineLevel="1" x14ac:dyDescent="0.2">
      <c r="A111" s="142"/>
      <c r="B111" s="126"/>
      <c r="C111" s="126"/>
      <c r="D111" s="126"/>
      <c r="E111" s="126"/>
      <c r="F111" s="130">
        <v>90</v>
      </c>
      <c r="G111" s="126" t="str">
        <f>IFERROR(VLOOKUP(CONCATENATE($Q$3,"_",F111),Punkte_ENV1.1!$A$2:$P$1030,2,FALSE)*(VLOOKUP(CONCATENATE($Q$3,"_",F111),Punkte_ENV1.1!$A$2:$P$1030,3,FALSE)*$G$12+VLOOKUP(CONCATENATE($Q$3,"_",F111),Punkte_ENV1.1!$A$2:$P$1030,4,FALSE)*$G$17),"")</f>
        <v/>
      </c>
      <c r="H111" s="126" t="str">
        <f t="shared" si="31"/>
        <v/>
      </c>
      <c r="I111" s="147" t="str">
        <f t="shared" si="20"/>
        <v/>
      </c>
      <c r="J111" s="130">
        <v>90</v>
      </c>
      <c r="K111" s="129" t="str">
        <f>IFERROR(VLOOKUP(CONCATENATE($Q$3,"_",J111),Punkte_ENV1.1!$A$2:$P$1030,5,FALSE)*(VLOOKUP(CONCATENATE($Q$3,"_",J111),Punkte_ENV1.1!$A$2:$P$1030,6,FALSE)*$H$12+VLOOKUP(CONCATENATE($Q$3,"_",J111),Punkte_ENV1.1!$A$2:$P$1030,7,FALSE)*$H$17),"")</f>
        <v/>
      </c>
      <c r="L111" s="129" t="str">
        <f t="shared" si="32"/>
        <v/>
      </c>
      <c r="M111" s="147" t="str">
        <f t="shared" si="21"/>
        <v/>
      </c>
      <c r="N111" s="130">
        <v>90</v>
      </c>
      <c r="O111" s="129" t="str">
        <f>IFERROR(VLOOKUP(CONCATENATE($Q$3,"_",N111),Punkte_ENV1.1!$A$2:$P$1030,8,FALSE)*(VLOOKUP(CONCATENATE($Q$3,"_",N111),Punkte_ENV1.1!$A$2:$P$1030,9,FALSE)*$I$12+VLOOKUP(CONCATENATE($Q$3,"_",N111),Punkte_ENV1.1!$A$2:$P$1030,10,FALSE)*$I$17),"")</f>
        <v/>
      </c>
      <c r="P111" s="129" t="str">
        <f t="shared" si="33"/>
        <v/>
      </c>
      <c r="Q111" s="147" t="str">
        <f t="shared" si="22"/>
        <v/>
      </c>
      <c r="R111" s="188">
        <v>90</v>
      </c>
      <c r="S111" s="189" t="str">
        <f>IFERROR(VLOOKUP(CONCATENATE($Q$3,"_",R111),Punkte_ENV1.1!$A$2:$P$1030,11,FALSE)*(VLOOKUP(CONCATENATE($Q$3,"_",R111),Punkte_ENV1.1!$A$2:$P$1030,12,FALSE)*$J$12+VLOOKUP(CONCATENATE($Q$3,"_",R111),Punkte_ENV1.1!$A$2:$P$1030,13,FALSE)*$J$17),"")</f>
        <v/>
      </c>
      <c r="T111" s="189" t="str">
        <f t="shared" si="23"/>
        <v/>
      </c>
      <c r="U111" s="190" t="str">
        <f t="shared" si="24"/>
        <v/>
      </c>
      <c r="V111" s="188">
        <v>90</v>
      </c>
      <c r="W111" s="189" t="str">
        <f>IFERROR(VLOOKUP(CONCATENATE($Q$3,"_",V111),Punkte_ENV1.1!$A$2:$P$1030,14,FALSE)*(VLOOKUP(CONCATENATE($Q$3,"_",V111),Punkte_ENV1.1!$A$2:$P$1030,15,FALSE)*$K$12+VLOOKUP(CONCATENATE($Q$3,"_",V111),Punkte_ENV1.1!$A$2:$P$1030,16,FALSE)*$K$17),"")</f>
        <v/>
      </c>
      <c r="X111" s="189" t="str">
        <f t="shared" si="25"/>
        <v/>
      </c>
      <c r="Y111" s="190" t="str">
        <f t="shared" si="26"/>
        <v/>
      </c>
      <c r="Z111" s="191">
        <v>90</v>
      </c>
      <c r="AA111" s="192" t="str">
        <f>IFERROR(VLOOKUP(CONCATENATE($Q$3,"_",Z111),Punkte_PENE!$A$2:$D$1026,2,FALSE)*(VLOOKUP(CONCATENATE($Q$3,"_",Z111),Punkte_PENE!$A$2:$D$1026,3,FALSE)*$L$12+VLOOKUP(CONCATENATE($Q$3,"_",Z111),Punkte_PENE!$A$2:$D$1026,4,FALSE)*$L$17),"")</f>
        <v/>
      </c>
      <c r="AB111" s="192" t="str">
        <f t="shared" si="27"/>
        <v/>
      </c>
      <c r="AC111" s="190" t="str">
        <f t="shared" si="28"/>
        <v/>
      </c>
      <c r="AD111" s="191">
        <v>50</v>
      </c>
      <c r="AE111" s="192" t="str">
        <f>IFERROR(VLOOKUP(CONCATENATE($Q$3,"_",AD111),Punkte_PEGES!$A$2:$D$1029,2,FALSE)*(VLOOKUP(CONCATENATE($Q$3,"_",AD111),Punkte_PEGES!$A$2:$D$1029,3,FALSE)*$M$12+VLOOKUP(CONCATENATE($Q$3,"_",AD111),Punkte_PEGES!$A$2:$D$1029,4,FALSE)*$M$17),"")</f>
        <v/>
      </c>
      <c r="AF111" s="192" t="str">
        <f t="shared" si="29"/>
        <v/>
      </c>
      <c r="AG111" s="190" t="str">
        <f t="shared" si="18"/>
        <v/>
      </c>
      <c r="AH111" s="191">
        <v>50</v>
      </c>
      <c r="AI111" s="192" t="str">
        <f>IFERROR(VLOOKUP(CONCATENATE($Q$3,"_",AH111),Punkte_PEE!$A$2:$B$1028,2,FALSE),"")</f>
        <v/>
      </c>
      <c r="AJ111" s="192" t="str">
        <f t="shared" si="30"/>
        <v/>
      </c>
      <c r="AK111" s="190" t="str">
        <f t="shared" si="34"/>
        <v/>
      </c>
      <c r="AL111" s="187"/>
    </row>
    <row r="112" spans="1:38" hidden="1" outlineLevel="1" x14ac:dyDescent="0.2">
      <c r="A112" s="142"/>
      <c r="B112" s="126"/>
      <c r="C112" s="126"/>
      <c r="D112" s="126"/>
      <c r="E112" s="126"/>
      <c r="F112" s="130">
        <v>100</v>
      </c>
      <c r="G112" s="126">
        <f>IFERROR(VLOOKUP(CONCATENATE($Q$3,"_",F112),Punkte_ENV1.1!$A$2:$P$1030,2,FALSE)*(VLOOKUP(CONCATENATE($Q$3,"_",F112),Punkte_ENV1.1!$A$2:$P$1030,3,FALSE)*$G$12+VLOOKUP(CONCATENATE($Q$3,"_",F112),Punkte_ENV1.1!$A$2:$P$1030,4,FALSE)*$G$17),"")</f>
        <v>21.231287653473654</v>
      </c>
      <c r="H112" s="126">
        <f t="shared" si="31"/>
        <v>1.7271635724347139</v>
      </c>
      <c r="I112" s="147">
        <f t="shared" si="20"/>
        <v>100</v>
      </c>
      <c r="J112" s="130">
        <v>100</v>
      </c>
      <c r="K112" s="129">
        <f>IFERROR(VLOOKUP(CONCATENATE($Q$3,"_",J112),Punkte_ENV1.1!$A$2:$P$1030,5,FALSE)*(VLOOKUP(CONCATENATE($Q$3,"_",J112),Punkte_ENV1.1!$A$2:$P$1030,6,FALSE)*$H$12+VLOOKUP(CONCATENATE($Q$3,"_",J112),Punkte_ENV1.1!$A$2:$P$1030,7,FALSE)*$H$17),"")</f>
        <v>0</v>
      </c>
      <c r="L112" s="129">
        <f t="shared" si="32"/>
        <v>-1.2303519054244413E-7</v>
      </c>
      <c r="M112" s="147">
        <f t="shared" si="21"/>
        <v>100</v>
      </c>
      <c r="N112" s="130">
        <v>100</v>
      </c>
      <c r="O112" s="129">
        <f>IFERROR(VLOOKUP(CONCATENATE($Q$3,"_",N112),Punkte_ENV1.1!$A$2:$P$1030,8,FALSE)*(VLOOKUP(CONCATENATE($Q$3,"_",N112),Punkte_ENV1.1!$A$2:$P$1030,9,FALSE)*$I$12+VLOOKUP(CONCATENATE($Q$3,"_",N112),Punkte_ENV1.1!$A$2:$P$1030,10,FALSE)*$I$17),"")</f>
        <v>4.2010382444902005E-3</v>
      </c>
      <c r="P112" s="129">
        <f t="shared" si="33"/>
        <v>3.5615483351967869E-3</v>
      </c>
      <c r="Q112" s="147">
        <f t="shared" si="22"/>
        <v>100</v>
      </c>
      <c r="R112" s="188">
        <v>100</v>
      </c>
      <c r="S112" s="189">
        <f>IFERROR(VLOOKUP(CONCATENATE($Q$3,"_",R112),Punkte_ENV1.1!$A$2:$P$1030,11,FALSE)*(VLOOKUP(CONCATENATE($Q$3,"_",R112),Punkte_ENV1.1!$A$2:$P$1030,12,FALSE)*$J$12+VLOOKUP(CONCATENATE($Q$3,"_",R112),Punkte_ENV1.1!$A$2:$P$1030,13,FALSE)*$J$17),"")</f>
        <v>4.1871022267978342E-2</v>
      </c>
      <c r="T112" s="189">
        <f t="shared" si="23"/>
        <v>1.3338706847547913E-2</v>
      </c>
      <c r="U112" s="190">
        <f t="shared" si="24"/>
        <v>100</v>
      </c>
      <c r="V112" s="188">
        <v>100</v>
      </c>
      <c r="W112" s="189">
        <f>IFERROR(VLOOKUP(CONCATENATE($Q$3,"_",V112),Punkte_ENV1.1!$A$2:$P$1030,14,FALSE)*(VLOOKUP(CONCATENATE($Q$3,"_",V112),Punkte_ENV1.1!$A$2:$P$1030,15,FALSE)*$K$12+VLOOKUP(CONCATENATE($Q$3,"_",V112),Punkte_ENV1.1!$A$2:$P$1030,16,FALSE)*$K$17),"")</f>
        <v>5.4967605938127558E-3</v>
      </c>
      <c r="X112" s="189">
        <f t="shared" si="25"/>
        <v>2.151444384077981E-3</v>
      </c>
      <c r="Y112" s="190">
        <f t="shared" si="26"/>
        <v>100</v>
      </c>
      <c r="Z112" s="191">
        <v>100</v>
      </c>
      <c r="AA112" s="192">
        <f>IFERROR(VLOOKUP(CONCATENATE($Q$3,"_",Z112),Punkte_PENE!$A$2:$D$1026,2,FALSE)*(VLOOKUP(CONCATENATE($Q$3,"_",Z112),Punkte_PENE!$A$2:$D$1026,3,FALSE)*$L$12+VLOOKUP(CONCATENATE($Q$3,"_",Z112),Punkte_PENE!$A$2:$D$1026,4,FALSE)*$L$17),"")</f>
        <v>288.12342586237571</v>
      </c>
      <c r="AB112" s="192">
        <f t="shared" si="27"/>
        <v>-22.619451073291287</v>
      </c>
      <c r="AC112" s="190">
        <f t="shared" si="28"/>
        <v>100</v>
      </c>
      <c r="AD112" s="191">
        <v>55</v>
      </c>
      <c r="AE112" s="192" t="str">
        <f>IFERROR(VLOOKUP(CONCATENATE($Q$3,"_",AD112),Punkte_PEGES!$A$2:$D$1029,2,FALSE)*(VLOOKUP(CONCATENATE($Q$3,"_",AD112),Punkte_PEGES!$A$2:$D$1029,3,FALSE)*$M$12+VLOOKUP(CONCATENATE($Q$3,"_",AD112),Punkte_PEGES!$A$2:$D$1029,4,FALSE)*$M$17),"")</f>
        <v/>
      </c>
      <c r="AF112" s="192" t="str">
        <f t="shared" si="29"/>
        <v/>
      </c>
      <c r="AG112" s="190" t="str">
        <f t="shared" si="18"/>
        <v/>
      </c>
      <c r="AH112" s="188">
        <v>100</v>
      </c>
      <c r="AI112" s="192">
        <f>IFERROR(VLOOKUP(CONCATENATE($Q$3,"_",AH112),Punkte_PEE!$A$2:$B$1028,2,FALSE),"")</f>
        <v>37.5</v>
      </c>
      <c r="AJ112" s="192">
        <f>IFERROR(IF(AI112="","",IF((($M$21-$L$21)/$M$21)*100&gt;=AI112,(($M$21-$L$21)/$M$21)*100,"")),"")</f>
        <v>123.16265909256406</v>
      </c>
      <c r="AK112" s="190">
        <f t="shared" si="34"/>
        <v>100</v>
      </c>
      <c r="AL112" s="187"/>
    </row>
    <row r="113" spans="1:38" hidden="1" outlineLevel="1" x14ac:dyDescent="0.2">
      <c r="A113" s="142"/>
      <c r="B113" s="126"/>
      <c r="C113" s="126"/>
      <c r="D113" s="126"/>
      <c r="E113" s="126"/>
      <c r="F113" s="130">
        <v>110</v>
      </c>
      <c r="G113" s="126" t="str">
        <f>IFERROR(VLOOKUP(CONCATENATE($Q$3,"_",F113),Punkte_ENV1.1!$A$2:$P$1030,2,FALSE)*(VLOOKUP(CONCATENATE($Q$3,"_",F113),Punkte_ENV1.1!$A$2:$P$1030,3,FALSE)*$G$12+VLOOKUP(CONCATENATE($Q$3,"_",F113),Punkte_ENV1.1!$A$2:$P$1030,4,FALSE)*$G$17),"")</f>
        <v/>
      </c>
      <c r="H113" s="126" t="str">
        <f t="shared" si="31"/>
        <v/>
      </c>
      <c r="I113" s="147" t="str">
        <f t="shared" si="20"/>
        <v/>
      </c>
      <c r="J113" s="130">
        <v>110</v>
      </c>
      <c r="K113" s="129" t="str">
        <f>IFERROR(VLOOKUP(CONCATENATE($Q$3,"_",J113),Punkte_ENV1.1!$A$2:$P$1030,5,FALSE)*(VLOOKUP(CONCATENATE($Q$3,"_",J113),Punkte_ENV1.1!$A$2:$P$1030,6,FALSE)*$H$12+VLOOKUP(CONCATENATE($Q$3,"_",J113),Punkte_ENV1.1!$A$2:$P$1030,7,FALSE)*$H$17),"")</f>
        <v/>
      </c>
      <c r="L113" s="129" t="str">
        <f t="shared" si="32"/>
        <v/>
      </c>
      <c r="M113" s="147" t="str">
        <f t="shared" si="21"/>
        <v/>
      </c>
      <c r="N113" s="130">
        <v>110</v>
      </c>
      <c r="O113" s="129" t="str">
        <f>IFERROR(VLOOKUP(CONCATENATE($Q$3,"_",N113),Punkte_ENV1.1!$A$2:$P$1030,8,FALSE)*(VLOOKUP(CONCATENATE($Q$3,"_",N113),Punkte_ENV1.1!$A$2:$P$1030,9,FALSE)*$I$12+VLOOKUP(CONCATENATE($Q$3,"_",N113),Punkte_ENV1.1!$A$2:$P$1030,10,FALSE)*$I$17),"")</f>
        <v/>
      </c>
      <c r="P113" s="129" t="str">
        <f t="shared" si="33"/>
        <v/>
      </c>
      <c r="Q113" s="147" t="str">
        <f t="shared" si="22"/>
        <v/>
      </c>
      <c r="R113" s="188">
        <v>110</v>
      </c>
      <c r="S113" s="189" t="str">
        <f>IFERROR(VLOOKUP(CONCATENATE($Q$3,"_",R113),Punkte_ENV1.1!$A$2:$P$1030,11,FALSE)*(VLOOKUP(CONCATENATE($Q$3,"_",R113),Punkte_ENV1.1!$A$2:$P$1030,12,FALSE)*$J$12+VLOOKUP(CONCATENATE($Q$3,"_",R113),Punkte_ENV1.1!$A$2:$P$1030,13,FALSE)*$J$17),"")</f>
        <v/>
      </c>
      <c r="T113" s="189" t="str">
        <f t="shared" si="23"/>
        <v/>
      </c>
      <c r="U113" s="190" t="str">
        <f t="shared" si="24"/>
        <v/>
      </c>
      <c r="V113" s="188">
        <v>110</v>
      </c>
      <c r="W113" s="189" t="str">
        <f>IFERROR(VLOOKUP(CONCATENATE($Q$3,"_",V113),Punkte_ENV1.1!$A$2:$P$1030,14,FALSE)*(VLOOKUP(CONCATENATE($Q$3,"_",V113),Punkte_ENV1.1!$A$2:$P$1030,15,FALSE)*$K$12+VLOOKUP(CONCATENATE($Q$3,"_",V113),Punkte_ENV1.1!$A$2:$P$1030,16,FALSE)*$K$17),"")</f>
        <v/>
      </c>
      <c r="X113" s="189" t="str">
        <f t="shared" si="25"/>
        <v/>
      </c>
      <c r="Y113" s="190" t="str">
        <f t="shared" si="26"/>
        <v/>
      </c>
      <c r="Z113" s="191">
        <v>110</v>
      </c>
      <c r="AA113" s="192" t="str">
        <f>IFERROR(VLOOKUP(CONCATENATE($Q$3,"_",Z113),Punkte_PENE!$A$2:$D$1026,2,FALSE)*(VLOOKUP(CONCATENATE($Q$3,"_",Z113),Punkte_PENE!$A$2:$D$1026,3,FALSE)*$L$12+VLOOKUP(CONCATENATE($Q$3,"_",Z113),Punkte_PENE!$A$2:$D$1026,4,FALSE)*$L$17),"")</f>
        <v/>
      </c>
      <c r="AB113" s="192" t="str">
        <f t="shared" si="27"/>
        <v/>
      </c>
      <c r="AC113" s="190" t="str">
        <f t="shared" si="28"/>
        <v/>
      </c>
      <c r="AD113" s="191">
        <v>60</v>
      </c>
      <c r="AE113" s="192">
        <f>IFERROR(VLOOKUP(CONCATENATE($Q$3,"_",AD113),Punkte_PEGES!$A$2:$D$1029,2,FALSE)*(VLOOKUP(CONCATENATE($Q$3,"_",AD113),Punkte_PEGES!$A$2:$D$1029,3,FALSE)*$M$12+VLOOKUP(CONCATENATE($Q$3,"_",AD113),Punkte_PEGES!$A$2:$D$1029,4,FALSE)*$M$17),"")</f>
        <v>590.24461094588059</v>
      </c>
      <c r="AF113" s="192">
        <f t="shared" si="29"/>
        <v>97.654811491625523</v>
      </c>
      <c r="AG113" s="190" t="b">
        <f t="shared" si="18"/>
        <v>0</v>
      </c>
      <c r="AH113" s="194"/>
      <c r="AI113" s="195"/>
      <c r="AJ113" s="195"/>
      <c r="AK113" s="196">
        <f>IFERROR(SUM(AK101:AK112),0)</f>
        <v>100</v>
      </c>
      <c r="AL113" s="187"/>
    </row>
    <row r="114" spans="1:38" hidden="1" outlineLevel="1" x14ac:dyDescent="0.2">
      <c r="A114" s="142"/>
      <c r="B114" s="126"/>
      <c r="C114" s="126"/>
      <c r="D114" s="126"/>
      <c r="E114" s="126"/>
      <c r="F114" s="130">
        <v>120</v>
      </c>
      <c r="G114" s="126" t="str">
        <f>IFERROR(VLOOKUP(CONCATENATE($Q$3,"_",F114),Punkte_ENV1.1!$A$2:$P$1030,2,FALSE)*(VLOOKUP(CONCATENATE($Q$3,"_",F114),Punkte_ENV1.1!$A$2:$P$1030,3,FALSE)*$G$12+VLOOKUP(CONCATENATE($Q$3,"_",F114),Punkte_ENV1.1!$A$2:$P$1030,4,FALSE)*$G$17),"")</f>
        <v/>
      </c>
      <c r="H114" s="126" t="str">
        <f t="shared" si="31"/>
        <v/>
      </c>
      <c r="I114" s="147" t="str">
        <f t="shared" si="20"/>
        <v/>
      </c>
      <c r="J114" s="130">
        <v>120</v>
      </c>
      <c r="K114" s="129" t="str">
        <f>IFERROR(VLOOKUP(CONCATENATE($Q$3,"_",J114),Punkte_ENV1.1!$A$2:$P$1030,5,FALSE)*(VLOOKUP(CONCATENATE($Q$3,"_",J114),Punkte_ENV1.1!$A$2:$P$1030,6,FALSE)*$H$12+VLOOKUP(CONCATENATE($Q$3,"_",J114),Punkte_ENV1.1!$A$2:$P$1030,7,FALSE)*$H$17),"")</f>
        <v/>
      </c>
      <c r="L114" s="129" t="str">
        <f t="shared" si="32"/>
        <v/>
      </c>
      <c r="M114" s="147" t="str">
        <f t="shared" si="21"/>
        <v/>
      </c>
      <c r="N114" s="130">
        <v>120</v>
      </c>
      <c r="O114" s="129" t="str">
        <f>IFERROR(VLOOKUP(CONCATENATE($Q$3,"_",N114),Punkte_ENV1.1!$A$2:$P$1030,8,FALSE)*(VLOOKUP(CONCATENATE($Q$3,"_",N114),Punkte_ENV1.1!$A$2:$P$1030,9,FALSE)*$I$12+VLOOKUP(CONCATENATE($Q$3,"_",N114),Punkte_ENV1.1!$A$2:$P$1030,10,FALSE)*$I$17),"")</f>
        <v/>
      </c>
      <c r="P114" s="129" t="str">
        <f t="shared" si="33"/>
        <v/>
      </c>
      <c r="Q114" s="147" t="str">
        <f t="shared" si="22"/>
        <v/>
      </c>
      <c r="R114" s="188">
        <v>120</v>
      </c>
      <c r="S114" s="189" t="str">
        <f>IFERROR(VLOOKUP(CONCATENATE($Q$3,"_",R114),Punkte_ENV1.1!$A$2:$P$1030,11,FALSE)*(VLOOKUP(CONCATENATE($Q$3,"_",R114),Punkte_ENV1.1!$A$2:$P$1030,12,FALSE)*$J$12+VLOOKUP(CONCATENATE($Q$3,"_",R114),Punkte_ENV1.1!$A$2:$P$1030,13,FALSE)*$J$17),"")</f>
        <v/>
      </c>
      <c r="T114" s="189" t="str">
        <f t="shared" si="23"/>
        <v/>
      </c>
      <c r="U114" s="190" t="str">
        <f t="shared" si="24"/>
        <v/>
      </c>
      <c r="V114" s="188">
        <v>120</v>
      </c>
      <c r="W114" s="189" t="str">
        <f>IFERROR(VLOOKUP(CONCATENATE($Q$3,"_",V114),Punkte_ENV1.1!$A$2:$P$1030,14,FALSE)*(VLOOKUP(CONCATENATE($Q$3,"_",V114),Punkte_ENV1.1!$A$2:$P$1030,15,FALSE)*$K$12+VLOOKUP(CONCATENATE($Q$3,"_",V114),Punkte_ENV1.1!$A$2:$P$1030,16,FALSE)*$K$17),"")</f>
        <v/>
      </c>
      <c r="X114" s="189" t="str">
        <f t="shared" si="25"/>
        <v/>
      </c>
      <c r="Y114" s="190" t="str">
        <f t="shared" si="26"/>
        <v/>
      </c>
      <c r="Z114" s="191">
        <v>120</v>
      </c>
      <c r="AA114" s="192" t="str">
        <f>IFERROR(VLOOKUP(CONCATENATE($Q$3,"_",Z114),Punkte_PENE!$A$2:$D$1026,2,FALSE)*(VLOOKUP(CONCATENATE($Q$3,"_",Z114),Punkte_PENE!$A$2:$D$1026,3,FALSE)*$L$12+VLOOKUP(CONCATENATE($Q$3,"_",Z114),Punkte_PENE!$A$2:$D$1026,4,FALSE)*$L$17),"")</f>
        <v/>
      </c>
      <c r="AB114" s="192" t="str">
        <f t="shared" si="27"/>
        <v/>
      </c>
      <c r="AC114" s="190" t="str">
        <f t="shared" si="28"/>
        <v/>
      </c>
      <c r="AD114" s="191">
        <v>65</v>
      </c>
      <c r="AE114" s="192" t="str">
        <f>IFERROR(VLOOKUP(CONCATENATE($Q$3,"_",AD114),Punkte_PEGES!$A$2:$D$1029,2,FALSE)*(VLOOKUP(CONCATENATE($Q$3,"_",AD114),Punkte_PEGES!$A$2:$D$1029,3,FALSE)*$M$12+VLOOKUP(CONCATENATE($Q$3,"_",AD114),Punkte_PEGES!$A$2:$D$1029,4,FALSE)*$M$17),"")</f>
        <v/>
      </c>
      <c r="AF114" s="192" t="str">
        <f t="shared" si="29"/>
        <v/>
      </c>
      <c r="AG114" s="190" t="str">
        <f t="shared" si="18"/>
        <v/>
      </c>
      <c r="AH114" s="197"/>
      <c r="AI114" s="198"/>
      <c r="AJ114" s="198"/>
      <c r="AK114" s="198"/>
      <c r="AL114" s="187"/>
    </row>
    <row r="115" spans="1:38" hidden="1" outlineLevel="1" x14ac:dyDescent="0.2">
      <c r="A115" s="142"/>
      <c r="B115" s="126"/>
      <c r="C115" s="126"/>
      <c r="D115" s="126"/>
      <c r="E115" s="126"/>
      <c r="F115" s="127"/>
      <c r="G115" s="128"/>
      <c r="H115" s="128"/>
      <c r="I115" s="148">
        <f>SUM(I101:I114)</f>
        <v>100</v>
      </c>
      <c r="J115" s="127"/>
      <c r="K115" s="131"/>
      <c r="L115" s="131"/>
      <c r="M115" s="148">
        <f>SUM(M101:M114)</f>
        <v>100</v>
      </c>
      <c r="N115" s="127"/>
      <c r="O115" s="131"/>
      <c r="P115" s="131"/>
      <c r="Q115" s="148">
        <f>SUM(Q101:Q114)</f>
        <v>100</v>
      </c>
      <c r="R115" s="199"/>
      <c r="S115" s="200"/>
      <c r="T115" s="200"/>
      <c r="U115" s="196">
        <f>SUM(U101:U114)</f>
        <v>100</v>
      </c>
      <c r="V115" s="199"/>
      <c r="W115" s="200"/>
      <c r="X115" s="200"/>
      <c r="Y115" s="196">
        <f>SUM(Y101:Y114)</f>
        <v>100</v>
      </c>
      <c r="Z115" s="199"/>
      <c r="AA115" s="200"/>
      <c r="AB115" s="200"/>
      <c r="AC115" s="196">
        <f>SUM(AC101:AC114)</f>
        <v>100</v>
      </c>
      <c r="AD115" s="191">
        <v>70</v>
      </c>
      <c r="AE115" s="192" t="str">
        <f>IFERROR(VLOOKUP(CONCATENATE($Q$3,"_",AD115),Punkte_PEGES!$A$2:$D$1029,2,FALSE)*(VLOOKUP(CONCATENATE($Q$3,"_",AD115),Punkte_PEGES!$A$2:$D$1029,3,FALSE)*$M$12+VLOOKUP(CONCATENATE($Q$3,"_",AD115),Punkte_PEGES!$A$2:$D$1029,4,FALSE)*$M$17),"")</f>
        <v/>
      </c>
      <c r="AF115" s="192" t="str">
        <f t="shared" si="29"/>
        <v/>
      </c>
      <c r="AG115" s="190" t="str">
        <f t="shared" si="18"/>
        <v/>
      </c>
      <c r="AH115" s="197"/>
      <c r="AI115" s="198"/>
      <c r="AJ115" s="198"/>
      <c r="AK115" s="198"/>
      <c r="AL115" s="187"/>
    </row>
    <row r="116" spans="1:38" hidden="1" outlineLevel="1" x14ac:dyDescent="0.2">
      <c r="A116" s="142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201"/>
      <c r="S116" s="201"/>
      <c r="T116" s="201"/>
      <c r="U116" s="201"/>
      <c r="V116" s="201"/>
      <c r="W116" s="201"/>
      <c r="X116" s="201"/>
      <c r="Y116" s="201"/>
      <c r="Z116" s="202"/>
      <c r="AA116" s="202"/>
      <c r="AB116" s="202"/>
      <c r="AC116" s="203"/>
      <c r="AD116" s="204">
        <v>75</v>
      </c>
      <c r="AE116" s="192" t="str">
        <f>IFERROR(VLOOKUP(CONCATENATE($Q$3,"_",AD116),Punkte_PEGES!$A$2:$D$1029,2,FALSE)*(VLOOKUP(CONCATENATE($Q$3,"_",AD116),Punkte_PEGES!$A$2:$D$1029,3,FALSE)*$M$12+VLOOKUP(CONCATENATE($Q$3,"_",AD116),Punkte_PEGES!$A$2:$D$1029,4,FALSE)*$M$17),"")</f>
        <v/>
      </c>
      <c r="AF116" s="192" t="str">
        <f t="shared" si="29"/>
        <v/>
      </c>
      <c r="AG116" s="190" t="str">
        <f t="shared" si="18"/>
        <v/>
      </c>
      <c r="AH116" s="197"/>
      <c r="AI116" s="198"/>
      <c r="AJ116" s="198"/>
      <c r="AK116" s="198"/>
      <c r="AL116" s="187"/>
    </row>
    <row r="117" spans="1:38" hidden="1" outlineLevel="1" x14ac:dyDescent="0.2">
      <c r="A117" s="142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201"/>
      <c r="S117" s="201"/>
      <c r="T117" s="201"/>
      <c r="U117" s="201"/>
      <c r="V117" s="201"/>
      <c r="W117" s="201"/>
      <c r="X117" s="201"/>
      <c r="Y117" s="201"/>
      <c r="Z117" s="198"/>
      <c r="AA117" s="198"/>
      <c r="AB117" s="198"/>
      <c r="AC117" s="205"/>
      <c r="AD117" s="204">
        <v>80</v>
      </c>
      <c r="AE117" s="192">
        <f>IFERROR(VLOOKUP(CONCATENATE($Q$3,"_",AD117),Punkte_PEGES!$A$2:$D$1029,2,FALSE)*(VLOOKUP(CONCATENATE($Q$3,"_",AD117),Punkte_PEGES!$A$2:$D$1029,3,FALSE)*$M$12+VLOOKUP(CONCATENATE($Q$3,"_",AD117),Punkte_PEGES!$A$2:$D$1029,4,FALSE)*$M$17),"")</f>
        <v>486.0837972495487</v>
      </c>
      <c r="AF117" s="192">
        <f t="shared" si="29"/>
        <v>97.654811491625523</v>
      </c>
      <c r="AG117" s="190" t="b">
        <f t="shared" ref="AG117:AG123" si="35">IF(AF117="","",IF(AND(AE118="",AE119="",AE120="",AE121="",AE122="",AE123="",AE124="",AE125="",AF117&lt;=AE117),AD117,IF(AND(AF118="",AF119="",AF120="",AF121="",AF122="",AF123="",AF124="",AF125=""),IF(AND(AD118&lt;&gt;"",AE118&lt;&gt;""),(AD118-AD117)/(AE118-AE117)*AF117+(AD117*AE118-AD118*AE117)/(AE118-AE117),IF(AND(AD119&lt;&gt;"",AE119&lt;&gt;""),(AD119-AD117)/(AE119-AE117)*AF117+(AD117*AE119-AD119*AE117)/(AE119-AE117),IF(AND(AD120&lt;&gt;"",AE120&lt;&gt;""),(AD120-AD117)/(AE120-AE117)*AF117+(AD117*AE120-AD120*AE117)/(AE120-AE117),IF(AND(AD121&lt;&gt;"",AE121&lt;&gt;""),(AD121-AD117)/(AE121-AE117)*AF117+(AD117*AE121-AD121*AE117)/(AE121-AE117),IF(AND(AD122&lt;&gt;"",AE122&lt;&gt;""),(AD122-AD117)/(AE122-AE117)*AF117+(AD117*AE122-AD122*AE117)/(AE122-AE117),IF(AND(AD123&lt;&gt;"",AE123&lt;&gt;""),(AD123-AD117)/(AE123-AE117)*AF117+(AD117*AE123-AD123*AE117)/(AE123-AE117),IF(AND(AD124&lt;&gt;"",AE124&lt;&gt;""),(AD124-AD117)/(AE124-AE117)*AF117+(AD117*AE124-AD124*AE117)/(AE124-AE117),IF(AND(AD125&lt;&gt;"",AE125&lt;&gt;""),(AD125-AD117)/(AE125-AE117)*AF117+(AD117*AE125-AD125*AE117)/(AE125-AE117),"")))))))))))</f>
        <v>0</v>
      </c>
      <c r="AH117" s="197"/>
      <c r="AI117" s="198"/>
      <c r="AJ117" s="198"/>
      <c r="AK117" s="198"/>
      <c r="AL117" s="187"/>
    </row>
    <row r="118" spans="1:38" hidden="1" outlineLevel="1" x14ac:dyDescent="0.2">
      <c r="A118" s="142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201"/>
      <c r="S118" s="201"/>
      <c r="T118" s="201"/>
      <c r="U118" s="201"/>
      <c r="V118" s="201"/>
      <c r="W118" s="201"/>
      <c r="X118" s="201"/>
      <c r="Y118" s="201"/>
      <c r="Z118" s="198"/>
      <c r="AA118" s="198"/>
      <c r="AB118" s="198"/>
      <c r="AC118" s="205"/>
      <c r="AD118" s="204">
        <v>85</v>
      </c>
      <c r="AE118" s="192" t="str">
        <f>IFERROR(VLOOKUP(CONCATENATE($Q$3,"_",AD118),Punkte_PEGES!$A$2:$D$1029,2,FALSE)*(VLOOKUP(CONCATENATE($Q$3,"_",AD118),Punkte_PEGES!$A$2:$D$1029,3,FALSE)*$M$12+VLOOKUP(CONCATENATE($Q$3,"_",AD118),Punkte_PEGES!$A$2:$D$1029,4,FALSE)*$M$17),"")</f>
        <v/>
      </c>
      <c r="AF118" s="192" t="str">
        <f t="shared" si="29"/>
        <v/>
      </c>
      <c r="AG118" s="190" t="str">
        <f t="shared" si="35"/>
        <v/>
      </c>
      <c r="AH118" s="197"/>
      <c r="AI118" s="198"/>
      <c r="AJ118" s="198"/>
      <c r="AK118" s="198"/>
      <c r="AL118" s="187"/>
    </row>
    <row r="119" spans="1:38" hidden="1" outlineLevel="1" x14ac:dyDescent="0.2">
      <c r="A119" s="142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201"/>
      <c r="S119" s="201"/>
      <c r="T119" s="201"/>
      <c r="U119" s="201"/>
      <c r="V119" s="201"/>
      <c r="W119" s="201"/>
      <c r="X119" s="201"/>
      <c r="Y119" s="201"/>
      <c r="Z119" s="198"/>
      <c r="AA119" s="198"/>
      <c r="AB119" s="198"/>
      <c r="AC119" s="205"/>
      <c r="AD119" s="204">
        <v>90</v>
      </c>
      <c r="AE119" s="192" t="str">
        <f>IFERROR(VLOOKUP(CONCATENATE($Q$3,"_",AD119),Punkte_PEGES!$A$2:$D$1029,2,FALSE)*(VLOOKUP(CONCATENATE($Q$3,"_",AD119),Punkte_PEGES!$A$2:$D$1029,3,FALSE)*$M$12+VLOOKUP(CONCATENATE($Q$3,"_",AD119),Punkte_PEGES!$A$2:$D$1029,4,FALSE)*$M$17),"")</f>
        <v/>
      </c>
      <c r="AF119" s="192" t="str">
        <f t="shared" si="29"/>
        <v/>
      </c>
      <c r="AG119" s="190" t="str">
        <f t="shared" si="35"/>
        <v/>
      </c>
      <c r="AH119" s="197"/>
      <c r="AI119" s="198"/>
      <c r="AJ119" s="198"/>
      <c r="AK119" s="198"/>
      <c r="AL119" s="187"/>
    </row>
    <row r="120" spans="1:38" hidden="1" outlineLevel="1" x14ac:dyDescent="0.2">
      <c r="A120" s="142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201"/>
      <c r="S120" s="201"/>
      <c r="T120" s="201"/>
      <c r="U120" s="201"/>
      <c r="V120" s="201"/>
      <c r="W120" s="201"/>
      <c r="X120" s="201"/>
      <c r="Y120" s="201"/>
      <c r="Z120" s="198"/>
      <c r="AA120" s="198"/>
      <c r="AB120" s="198"/>
      <c r="AC120" s="205"/>
      <c r="AD120" s="204">
        <v>95</v>
      </c>
      <c r="AE120" s="192" t="str">
        <f>IFERROR(VLOOKUP(CONCATENATE($Q$3,"_",AD120),Punkte_PEGES!$A$2:$D$1029,2,FALSE)*(VLOOKUP(CONCATENATE($Q$3,"_",AD120),Punkte_PEGES!$A$2:$D$1029,3,FALSE)*$M$12+VLOOKUP(CONCATENATE($Q$3,"_",AD120),Punkte_PEGES!$A$2:$D$1029,4,FALSE)*$M$17),"")</f>
        <v/>
      </c>
      <c r="AF120" s="192" t="str">
        <f t="shared" si="29"/>
        <v/>
      </c>
      <c r="AG120" s="190" t="str">
        <f t="shared" si="35"/>
        <v/>
      </c>
      <c r="AH120" s="197"/>
      <c r="AI120" s="198"/>
      <c r="AJ120" s="198"/>
      <c r="AK120" s="198"/>
      <c r="AL120" s="187"/>
    </row>
    <row r="121" spans="1:38" hidden="1" outlineLevel="1" x14ac:dyDescent="0.2">
      <c r="A121" s="142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201"/>
      <c r="S121" s="201"/>
      <c r="T121" s="201"/>
      <c r="U121" s="201"/>
      <c r="V121" s="201"/>
      <c r="W121" s="201"/>
      <c r="X121" s="201"/>
      <c r="Y121" s="201"/>
      <c r="Z121" s="198"/>
      <c r="AA121" s="198"/>
      <c r="AB121" s="198"/>
      <c r="AC121" s="205"/>
      <c r="AD121" s="204">
        <v>100</v>
      </c>
      <c r="AE121" s="192">
        <f>IFERROR(VLOOKUP(CONCATENATE($Q$3,"_",AD121),Punkte_PEGES!$A$2:$D$1029,2,FALSE)*(VLOOKUP(CONCATENATE($Q$3,"_",AD121),Punkte_PEGES!$A$2:$D$1029,3,FALSE)*$M$12+VLOOKUP(CONCATENATE($Q$3,"_",AD121),Punkte_PEGES!$A$2:$D$1029,4,FALSE)*$M$17),"")</f>
        <v>381.92298355321685</v>
      </c>
      <c r="AF121" s="192">
        <f>IF(AE121="","",IF($M$21&lt;=AE121,$M$21,""))</f>
        <v>97.654811491625523</v>
      </c>
      <c r="AG121" s="190">
        <f t="shared" si="35"/>
        <v>100</v>
      </c>
      <c r="AH121" s="197"/>
      <c r="AI121" s="198"/>
      <c r="AJ121" s="198"/>
      <c r="AK121" s="198"/>
      <c r="AL121" s="187"/>
    </row>
    <row r="122" spans="1:38" hidden="1" outlineLevel="1" x14ac:dyDescent="0.2">
      <c r="A122" s="142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201"/>
      <c r="S122" s="201"/>
      <c r="T122" s="201"/>
      <c r="U122" s="201"/>
      <c r="V122" s="201"/>
      <c r="W122" s="201"/>
      <c r="X122" s="201"/>
      <c r="Y122" s="201"/>
      <c r="Z122" s="198"/>
      <c r="AA122" s="198"/>
      <c r="AB122" s="198"/>
      <c r="AC122" s="205"/>
      <c r="AD122" s="204">
        <v>110</v>
      </c>
      <c r="AE122" s="192" t="str">
        <f>IFERROR(VLOOKUP(CONCATENATE($Q$3,"_",AD122),Punkte_PEGES!$A$2:$D$1029,2,FALSE)*(VLOOKUP(CONCATENATE($Q$3,"_",AD122),Punkte_PEGES!$A$2:$D$1029,3,FALSE)*$M$12+VLOOKUP(CONCATENATE($Q$3,"_",AD122),Punkte_PEGES!$A$2:$D$1029,4,FALSE)*$M$17),"")</f>
        <v/>
      </c>
      <c r="AF122" s="192" t="str">
        <f t="shared" ref="AF122:AF123" si="36">IF(AE122="","",IF($M$21&lt;=AE122,$M$21,""))</f>
        <v/>
      </c>
      <c r="AG122" s="190" t="str">
        <f t="shared" si="35"/>
        <v/>
      </c>
      <c r="AH122" s="198"/>
      <c r="AI122" s="198"/>
      <c r="AJ122" s="198"/>
      <c r="AK122" s="198"/>
      <c r="AL122" s="187"/>
    </row>
    <row r="123" spans="1:38" hidden="1" outlineLevel="1" x14ac:dyDescent="0.2">
      <c r="A123" s="142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9"/>
      <c r="AA123" s="129"/>
      <c r="AB123" s="129"/>
      <c r="AC123" s="208"/>
      <c r="AD123" s="204">
        <v>120</v>
      </c>
      <c r="AE123" s="192" t="str">
        <f>IFERROR(VLOOKUP(CONCATENATE($Q$3,"_",AD123),Punkte_PEGES!$A$2:$D$1029,2,FALSE)*(VLOOKUP(CONCATENATE($Q$3,"_",AD123),Punkte_PEGES!$A$2:$D$1029,3,FALSE)*$M$12+VLOOKUP(CONCATENATE($Q$3,"_",AD123),Punkte_PEGES!$A$2:$D$1029,4,FALSE)*$M$17),"")</f>
        <v/>
      </c>
      <c r="AF123" s="192" t="str">
        <f t="shared" si="36"/>
        <v/>
      </c>
      <c r="AG123" s="190" t="str">
        <f t="shared" si="35"/>
        <v/>
      </c>
      <c r="AH123" s="129"/>
      <c r="AI123" s="129"/>
      <c r="AJ123" s="129"/>
      <c r="AK123" s="129"/>
      <c r="AL123" s="143"/>
    </row>
    <row r="124" spans="1:38" hidden="1" outlineLevel="1" x14ac:dyDescent="0.2">
      <c r="A124" s="142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9"/>
      <c r="AA124" s="129"/>
      <c r="AB124" s="129"/>
      <c r="AC124" s="208"/>
      <c r="AD124" s="129"/>
      <c r="AE124" s="129"/>
      <c r="AF124" s="129"/>
      <c r="AG124" s="190">
        <f>SUM(AG101:AG123)</f>
        <v>100</v>
      </c>
      <c r="AH124" s="129"/>
      <c r="AI124" s="129"/>
      <c r="AJ124" s="129"/>
      <c r="AK124" s="129"/>
      <c r="AL124" s="143"/>
    </row>
    <row r="125" spans="1:38" hidden="1" outlineLevel="1" x14ac:dyDescent="0.2">
      <c r="A125" s="142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9"/>
      <c r="AA125" s="129"/>
      <c r="AB125" s="129"/>
      <c r="AC125" s="129"/>
      <c r="AD125" s="138"/>
      <c r="AE125" s="138"/>
      <c r="AF125" s="138"/>
      <c r="AG125" s="138"/>
      <c r="AH125" s="129"/>
      <c r="AI125" s="129"/>
      <c r="AJ125" s="129"/>
      <c r="AK125" s="129"/>
      <c r="AL125" s="143"/>
    </row>
    <row r="126" spans="1:38" hidden="1" outlineLevel="1" x14ac:dyDescent="0.2">
      <c r="A126" s="142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43"/>
    </row>
    <row r="127" spans="1:38" hidden="1" outlineLevel="1" x14ac:dyDescent="0.2">
      <c r="A127" s="142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43"/>
    </row>
    <row r="128" spans="1:38" hidden="1" outlineLevel="1" x14ac:dyDescent="0.2">
      <c r="A128" s="142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43"/>
    </row>
    <row r="129" spans="1:38" hidden="1" outlineLevel="1" x14ac:dyDescent="0.2">
      <c r="A129" s="142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43"/>
    </row>
    <row r="130" spans="1:38" hidden="1" outlineLevel="1" x14ac:dyDescent="0.2">
      <c r="A130" s="142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43"/>
    </row>
    <row r="131" spans="1:38" hidden="1" outlineLevel="1" x14ac:dyDescent="0.2">
      <c r="A131" s="142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43"/>
    </row>
    <row r="132" spans="1:38" hidden="1" outlineLevel="1" x14ac:dyDescent="0.2">
      <c r="A132" s="142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43"/>
    </row>
    <row r="133" spans="1:38" ht="16" hidden="1" outlineLevel="1" thickBot="1" x14ac:dyDescent="0.25">
      <c r="A133" s="16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5"/>
    </row>
    <row r="134" spans="1:38" collapsed="1" x14ac:dyDescent="0.2"/>
    <row r="135" spans="1:38" x14ac:dyDescent="0.2">
      <c r="B135" s="209" t="s">
        <v>64</v>
      </c>
      <c r="C135" s="209"/>
      <c r="D135" s="209"/>
      <c r="E135" s="209"/>
      <c r="F135" s="209"/>
    </row>
    <row r="136" spans="1:38" ht="84" customHeight="1" x14ac:dyDescent="0.2">
      <c r="B136" s="209" t="s">
        <v>65</v>
      </c>
      <c r="C136" s="296" t="s">
        <v>66</v>
      </c>
      <c r="D136" s="296"/>
      <c r="E136" s="296"/>
      <c r="F136" s="296"/>
    </row>
    <row r="137" spans="1:38" ht="21" customHeight="1" x14ac:dyDescent="0.2">
      <c r="B137" s="209" t="s">
        <v>67</v>
      </c>
      <c r="C137" s="206" t="s">
        <v>172</v>
      </c>
      <c r="D137" s="209"/>
      <c r="E137" s="209"/>
      <c r="F137" s="209"/>
    </row>
    <row r="138" spans="1:38" x14ac:dyDescent="0.2">
      <c r="B138" s="209" t="s">
        <v>144</v>
      </c>
      <c r="C138" s="209" t="s">
        <v>145</v>
      </c>
      <c r="D138" s="209"/>
      <c r="E138" s="209"/>
      <c r="F138" s="209"/>
    </row>
    <row r="139" spans="1:38" x14ac:dyDescent="0.2">
      <c r="B139" s="209" t="s">
        <v>157</v>
      </c>
      <c r="C139" s="209" t="s">
        <v>158</v>
      </c>
      <c r="D139" s="209"/>
      <c r="E139" s="209"/>
      <c r="F139" s="209"/>
    </row>
    <row r="140" spans="1:38" x14ac:dyDescent="0.2">
      <c r="B140" s="209" t="s">
        <v>162</v>
      </c>
      <c r="C140" s="209" t="s">
        <v>163</v>
      </c>
      <c r="D140" s="209"/>
      <c r="E140" s="209"/>
      <c r="F140" s="209"/>
    </row>
    <row r="141" spans="1:38" x14ac:dyDescent="0.2">
      <c r="B141" s="209" t="s">
        <v>164</v>
      </c>
      <c r="C141" s="209" t="s">
        <v>165</v>
      </c>
      <c r="D141" s="209"/>
      <c r="E141" s="209"/>
      <c r="F141" s="209"/>
    </row>
    <row r="142" spans="1:38" ht="64" x14ac:dyDescent="0.2">
      <c r="B142" s="209" t="s">
        <v>166</v>
      </c>
      <c r="C142" s="212" t="s">
        <v>173</v>
      </c>
      <c r="D142" s="209"/>
      <c r="E142" s="209"/>
      <c r="F142" s="209"/>
    </row>
    <row r="143" spans="1:38" x14ac:dyDescent="0.2">
      <c r="B143" s="209" t="s">
        <v>174</v>
      </c>
      <c r="C143" s="209" t="s">
        <v>175</v>
      </c>
    </row>
    <row r="144" spans="1:38" ht="110.25" customHeight="1" x14ac:dyDescent="0.2">
      <c r="B144" s="209" t="s">
        <v>176</v>
      </c>
      <c r="C144" s="215" t="s">
        <v>200</v>
      </c>
    </row>
    <row r="145" spans="2:3" x14ac:dyDescent="0.2">
      <c r="B145" s="209" t="s">
        <v>198</v>
      </c>
      <c r="C145" s="209" t="s">
        <v>199</v>
      </c>
    </row>
    <row r="146" spans="2:3" x14ac:dyDescent="0.2">
      <c r="B146" s="209" t="s">
        <v>201</v>
      </c>
      <c r="C146" s="209" t="s">
        <v>202</v>
      </c>
    </row>
    <row r="147" spans="2:3" ht="240" x14ac:dyDescent="0.2">
      <c r="B147" s="209" t="s">
        <v>206</v>
      </c>
      <c r="C147" s="272" t="s">
        <v>208</v>
      </c>
    </row>
  </sheetData>
  <sheetProtection formatColumns="0" formatRows="0"/>
  <dataConsolidate/>
  <mergeCells count="121">
    <mergeCell ref="G57:P57"/>
    <mergeCell ref="B81:E81"/>
    <mergeCell ref="G6:H6"/>
    <mergeCell ref="B8:F9"/>
    <mergeCell ref="B10:F10"/>
    <mergeCell ref="B11:B20"/>
    <mergeCell ref="E12:E16"/>
    <mergeCell ref="F12:F16"/>
    <mergeCell ref="G12:G16"/>
    <mergeCell ref="H12:H16"/>
    <mergeCell ref="D17:D20"/>
    <mergeCell ref="G74:P74"/>
    <mergeCell ref="B68:E68"/>
    <mergeCell ref="B67:E67"/>
    <mergeCell ref="G77:P78"/>
    <mergeCell ref="B58:E58"/>
    <mergeCell ref="G58:I58"/>
    <mergeCell ref="J58:P58"/>
    <mergeCell ref="G63:P63"/>
    <mergeCell ref="G75:P76"/>
    <mergeCell ref="G61:I61"/>
    <mergeCell ref="B75:E75"/>
    <mergeCell ref="B59:E59"/>
    <mergeCell ref="G59:I59"/>
    <mergeCell ref="G64:P65"/>
    <mergeCell ref="B74:E74"/>
    <mergeCell ref="G67:G68"/>
    <mergeCell ref="G69:G70"/>
    <mergeCell ref="G71:G72"/>
    <mergeCell ref="J60:P60"/>
    <mergeCell ref="B61:E61"/>
    <mergeCell ref="B78:E78"/>
    <mergeCell ref="B65:E65"/>
    <mergeCell ref="B77:E77"/>
    <mergeCell ref="B69:E69"/>
    <mergeCell ref="B70:E70"/>
    <mergeCell ref="B71:E71"/>
    <mergeCell ref="B72:E72"/>
    <mergeCell ref="B76:E76"/>
    <mergeCell ref="B64:E64"/>
    <mergeCell ref="J55:P55"/>
    <mergeCell ref="J59:P59"/>
    <mergeCell ref="J61:P61"/>
    <mergeCell ref="G60:I60"/>
    <mergeCell ref="G56:I56"/>
    <mergeCell ref="J56:P56"/>
    <mergeCell ref="C17:C20"/>
    <mergeCell ref="C23:C32"/>
    <mergeCell ref="E23:F23"/>
    <mergeCell ref="E48:F48"/>
    <mergeCell ref="E49:F49"/>
    <mergeCell ref="E46:F46"/>
    <mergeCell ref="C44:C47"/>
    <mergeCell ref="G46:G48"/>
    <mergeCell ref="E41:F41"/>
    <mergeCell ref="B55:E55"/>
    <mergeCell ref="G55:I55"/>
    <mergeCell ref="B52:P52"/>
    <mergeCell ref="B53:E53"/>
    <mergeCell ref="G53:I53"/>
    <mergeCell ref="J53:P53"/>
    <mergeCell ref="B54:E54"/>
    <mergeCell ref="G54:P54"/>
    <mergeCell ref="B60:E60"/>
    <mergeCell ref="K46:K48"/>
    <mergeCell ref="L46:L48"/>
    <mergeCell ref="M46:M48"/>
    <mergeCell ref="N46:N48"/>
    <mergeCell ref="O12:O16"/>
    <mergeCell ref="P12:P16"/>
    <mergeCell ref="B21:B50"/>
    <mergeCell ref="C50:F50"/>
    <mergeCell ref="L12:L16"/>
    <mergeCell ref="M12:M16"/>
    <mergeCell ref="N12:N16"/>
    <mergeCell ref="H46:H48"/>
    <mergeCell ref="E47:F47"/>
    <mergeCell ref="G82:P82"/>
    <mergeCell ref="B83:E83"/>
    <mergeCell ref="G83:P83"/>
    <mergeCell ref="B80:E80"/>
    <mergeCell ref="G80:P80"/>
    <mergeCell ref="B2:D2"/>
    <mergeCell ref="E2:F2"/>
    <mergeCell ref="B6:F6"/>
    <mergeCell ref="E43:F43"/>
    <mergeCell ref="B3:D3"/>
    <mergeCell ref="B4:D4"/>
    <mergeCell ref="B5:D5"/>
    <mergeCell ref="E3:F3"/>
    <mergeCell ref="E4:F4"/>
    <mergeCell ref="O5:P5"/>
    <mergeCell ref="M6:N6"/>
    <mergeCell ref="B63:E63"/>
    <mergeCell ref="I12:I16"/>
    <mergeCell ref="J12:J16"/>
    <mergeCell ref="K12:K16"/>
    <mergeCell ref="O46:O48"/>
    <mergeCell ref="P46:P48"/>
    <mergeCell ref="I46:I48"/>
    <mergeCell ref="J46:J48"/>
    <mergeCell ref="C136:F136"/>
    <mergeCell ref="C48:C49"/>
    <mergeCell ref="D48:D49"/>
    <mergeCell ref="E44:F44"/>
    <mergeCell ref="E45:F45"/>
    <mergeCell ref="C33:C34"/>
    <mergeCell ref="E33:F33"/>
    <mergeCell ref="E34:F34"/>
    <mergeCell ref="E36:F36"/>
    <mergeCell ref="E42:F42"/>
    <mergeCell ref="C35:C43"/>
    <mergeCell ref="E35:F35"/>
    <mergeCell ref="E37:F37"/>
    <mergeCell ref="E38:F38"/>
    <mergeCell ref="E39:F39"/>
    <mergeCell ref="E40:F40"/>
    <mergeCell ref="B57:E57"/>
    <mergeCell ref="B82:E82"/>
    <mergeCell ref="B56:E56"/>
    <mergeCell ref="B66:E66"/>
  </mergeCells>
  <conditionalFormatting sqref="B8:F9">
    <cfRule type="cellIs" dxfId="149" priority="12" stopIfTrue="1" operator="notEqual">
      <formula>"PROJEKTNAME"</formula>
    </cfRule>
  </conditionalFormatting>
  <conditionalFormatting sqref="B58:E61">
    <cfRule type="expression" dxfId="148" priority="9">
      <formula>O8="CORE14"</formula>
    </cfRule>
  </conditionalFormatting>
  <conditionalFormatting sqref="B57:E57">
    <cfRule type="expression" dxfId="147" priority="13">
      <formula>O6="CORE14"</formula>
    </cfRule>
  </conditionalFormatting>
  <conditionalFormatting sqref="F81">
    <cfRule type="expression" dxfId="146" priority="7">
      <formula>$B$81=""</formula>
    </cfRule>
  </conditionalFormatting>
  <conditionalFormatting sqref="M5 K5 I5 G5">
    <cfRule type="expression" dxfId="145" priority="2">
      <formula>FIND("MIX",$O$5)</formula>
    </cfRule>
    <cfRule type="expression" dxfId="144" priority="4">
      <formula>FIND("MIX",$O$5)</formula>
    </cfRule>
  </conditionalFormatting>
  <conditionalFormatting sqref="K5 I5 G5">
    <cfRule type="expression" dxfId="143" priority="3">
      <formula>FIND("MIX",$O$5)</formula>
    </cfRule>
  </conditionalFormatting>
  <conditionalFormatting sqref="M5 K5 I5 G5">
    <cfRule type="expression" dxfId="142" priority="1">
      <formula>FIND("MIX",$O$5)</formula>
    </cfRule>
  </conditionalFormatting>
  <dataValidations disablePrompts="1" count="4">
    <dataValidation type="list" allowBlank="1" showInputMessage="1" showErrorMessage="1" sqref="F74 F63" xr:uid="{00000000-0002-0000-0000-000000000000}">
      <formula1>"Absolute Werte / Absolut Values, kWh/m²a"</formula1>
    </dataValidation>
    <dataValidation type="list" allowBlank="1" showInputMessage="1" showErrorMessage="1" sqref="F54" xr:uid="{00000000-0002-0000-0000-000001000000}">
      <formula1>"NRF(R) nach DIN 277 [m²],BRI [m³]"</formula1>
    </dataValidation>
    <dataValidation type="list" allowBlank="1" showInputMessage="1" showErrorMessage="1" sqref="F83 F81" xr:uid="{00000000-0002-0000-0000-000002000000}">
      <formula1>"Ja,Nein"</formula1>
    </dataValidation>
    <dataValidation type="list" allowBlank="1" showInputMessage="1" showErrorMessage="1" sqref="F80" xr:uid="{00000000-0002-0000-0000-000003000000}">
      <formula1>"Vereinfachtes Verfahren,Detailliertes Verfahren"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4000000}">
          <x14:formula1>
            <xm:f>Construction!$B$2:$B$39</xm:f>
          </x14:formula1>
          <xm:sqref>O5:P5</xm:sqref>
        </x14:dataValidation>
        <x14:dataValidation type="list" allowBlank="1" showInputMessage="1" showErrorMessage="1" xr:uid="{00000000-0002-0000-0000-000005000000}">
          <x14:formula1>
            <xm:f>IF($O$5="MIX12",Construction!$U$2:$U$10,IF($O$5="MIX15",Construction!$V$2:$V$10,IF($O$5="MIX18",Construction!$W$2:$W$12)))</xm:f>
          </x14:formula1>
          <xm:sqref>M5 G5 I5 K5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D528"/>
  <sheetViews>
    <sheetView workbookViewId="0">
      <pane ySplit="1" topLeftCell="A319" activePane="bottomLeft" state="frozen"/>
      <selection pane="bottomLeft" activeCell="G353" sqref="G353"/>
    </sheetView>
  </sheetViews>
  <sheetFormatPr baseColWidth="10" defaultColWidth="11.5" defaultRowHeight="15" x14ac:dyDescent="0.2"/>
  <cols>
    <col min="1" max="1" width="16.5" customWidth="1"/>
    <col min="3" max="3" width="9.83203125" customWidth="1"/>
  </cols>
  <sheetData>
    <row r="1" spans="1:4" x14ac:dyDescent="0.2">
      <c r="A1" t="s">
        <v>112</v>
      </c>
      <c r="B1" s="123" t="s">
        <v>134</v>
      </c>
      <c r="C1" s="123" t="s">
        <v>55</v>
      </c>
      <c r="D1" s="123" t="s">
        <v>106</v>
      </c>
    </row>
    <row r="2" spans="1:4" x14ac:dyDescent="0.2">
      <c r="A2" t="str">
        <f>IF(D2="","",CONCATENATE(D2,"_",C2))</f>
        <v>NBV15_5</v>
      </c>
      <c r="B2" s="122">
        <v>2</v>
      </c>
      <c r="C2" s="122">
        <v>5</v>
      </c>
      <c r="D2" s="119" t="s">
        <v>0</v>
      </c>
    </row>
    <row r="3" spans="1:4" x14ac:dyDescent="0.2">
      <c r="A3" t="str">
        <f t="shared" ref="A3:A66" si="0">IF(D3="","",CONCATENATE(D3,"_",C3))</f>
        <v>NBV15_10</v>
      </c>
      <c r="B3">
        <v>4</v>
      </c>
      <c r="C3">
        <v>10</v>
      </c>
      <c r="D3" s="119" t="s">
        <v>0</v>
      </c>
    </row>
    <row r="4" spans="1:4" x14ac:dyDescent="0.2">
      <c r="A4" t="str">
        <f t="shared" si="0"/>
        <v>NBV15_15</v>
      </c>
      <c r="B4">
        <v>6</v>
      </c>
      <c r="C4">
        <v>15</v>
      </c>
      <c r="D4" s="119" t="s">
        <v>0</v>
      </c>
    </row>
    <row r="5" spans="1:4" x14ac:dyDescent="0.2">
      <c r="A5" t="str">
        <f t="shared" si="0"/>
        <v>NBV15_20</v>
      </c>
      <c r="B5">
        <v>8</v>
      </c>
      <c r="C5">
        <v>20</v>
      </c>
      <c r="D5" s="119" t="s">
        <v>0</v>
      </c>
    </row>
    <row r="6" spans="1:4" x14ac:dyDescent="0.2">
      <c r="A6" t="str">
        <f t="shared" si="0"/>
        <v>NBV15_25</v>
      </c>
      <c r="B6">
        <v>10</v>
      </c>
      <c r="C6">
        <v>25</v>
      </c>
      <c r="D6" s="119" t="s">
        <v>0</v>
      </c>
    </row>
    <row r="7" spans="1:4" x14ac:dyDescent="0.2">
      <c r="A7" t="str">
        <f t="shared" si="0"/>
        <v>NBV15_30</v>
      </c>
      <c r="B7">
        <v>12</v>
      </c>
      <c r="C7">
        <v>30</v>
      </c>
      <c r="D7" s="119" t="s">
        <v>0</v>
      </c>
    </row>
    <row r="8" spans="1:4" x14ac:dyDescent="0.2">
      <c r="A8" t="str">
        <f t="shared" si="0"/>
        <v>NBV15_35</v>
      </c>
      <c r="B8">
        <v>14</v>
      </c>
      <c r="C8">
        <v>35</v>
      </c>
      <c r="D8" s="119" t="s">
        <v>0</v>
      </c>
    </row>
    <row r="9" spans="1:4" x14ac:dyDescent="0.2">
      <c r="A9" t="str">
        <f t="shared" si="0"/>
        <v>NBV15_40</v>
      </c>
      <c r="B9">
        <v>16</v>
      </c>
      <c r="C9">
        <v>40</v>
      </c>
      <c r="D9" s="119" t="s">
        <v>0</v>
      </c>
    </row>
    <row r="10" spans="1:4" x14ac:dyDescent="0.2">
      <c r="A10" t="str">
        <f t="shared" si="0"/>
        <v>NBV15_45</v>
      </c>
      <c r="B10">
        <v>18</v>
      </c>
      <c r="C10">
        <v>45</v>
      </c>
      <c r="D10" s="119" t="s">
        <v>0</v>
      </c>
    </row>
    <row r="11" spans="1:4" x14ac:dyDescent="0.2">
      <c r="A11" t="str">
        <f t="shared" si="0"/>
        <v>NBV15_50</v>
      </c>
      <c r="B11">
        <v>20</v>
      </c>
      <c r="C11">
        <v>50</v>
      </c>
      <c r="D11" s="119" t="s">
        <v>0</v>
      </c>
    </row>
    <row r="12" spans="1:4" x14ac:dyDescent="0.2">
      <c r="A12" t="str">
        <f t="shared" si="0"/>
        <v/>
      </c>
    </row>
    <row r="13" spans="1:4" x14ac:dyDescent="0.2">
      <c r="A13" t="str">
        <f t="shared" si="0"/>
        <v>NBV12_U_5</v>
      </c>
      <c r="B13" s="122">
        <v>2</v>
      </c>
      <c r="C13" s="122">
        <v>5</v>
      </c>
      <c r="D13" s="119" t="s">
        <v>74</v>
      </c>
    </row>
    <row r="14" spans="1:4" x14ac:dyDescent="0.2">
      <c r="A14" t="str">
        <f t="shared" si="0"/>
        <v>NBV12_U_10</v>
      </c>
      <c r="B14">
        <v>4</v>
      </c>
      <c r="C14">
        <v>10</v>
      </c>
      <c r="D14" s="119" t="s">
        <v>74</v>
      </c>
    </row>
    <row r="15" spans="1:4" x14ac:dyDescent="0.2">
      <c r="A15" t="str">
        <f t="shared" si="0"/>
        <v>NBV12_U_15</v>
      </c>
      <c r="B15">
        <v>6</v>
      </c>
      <c r="C15">
        <v>15</v>
      </c>
      <c r="D15" s="119" t="s">
        <v>74</v>
      </c>
    </row>
    <row r="16" spans="1:4" x14ac:dyDescent="0.2">
      <c r="A16" t="str">
        <f t="shared" si="0"/>
        <v>NBV12_U_20</v>
      </c>
      <c r="B16">
        <v>8</v>
      </c>
      <c r="C16">
        <v>20</v>
      </c>
      <c r="D16" s="119" t="s">
        <v>74</v>
      </c>
    </row>
    <row r="17" spans="1:4" x14ac:dyDescent="0.2">
      <c r="A17" t="str">
        <f t="shared" si="0"/>
        <v>NBV12_U_25</v>
      </c>
      <c r="B17">
        <v>10</v>
      </c>
      <c r="C17">
        <v>25</v>
      </c>
      <c r="D17" s="119" t="s">
        <v>74</v>
      </c>
    </row>
    <row r="18" spans="1:4" x14ac:dyDescent="0.2">
      <c r="A18" t="str">
        <f t="shared" si="0"/>
        <v>NBV12_U_30</v>
      </c>
      <c r="B18">
        <v>12</v>
      </c>
      <c r="C18">
        <v>30</v>
      </c>
      <c r="D18" s="119" t="s">
        <v>74</v>
      </c>
    </row>
    <row r="19" spans="1:4" x14ac:dyDescent="0.2">
      <c r="A19" t="str">
        <f t="shared" si="0"/>
        <v>NBV12_U_35</v>
      </c>
      <c r="B19">
        <v>14</v>
      </c>
      <c r="C19">
        <v>35</v>
      </c>
      <c r="D19" s="119" t="s">
        <v>74</v>
      </c>
    </row>
    <row r="20" spans="1:4" x14ac:dyDescent="0.2">
      <c r="A20" t="str">
        <f t="shared" si="0"/>
        <v>NBV12_U_40</v>
      </c>
      <c r="B20">
        <v>16</v>
      </c>
      <c r="C20">
        <v>40</v>
      </c>
      <c r="D20" s="119" t="s">
        <v>74</v>
      </c>
    </row>
    <row r="21" spans="1:4" x14ac:dyDescent="0.2">
      <c r="A21" t="str">
        <f t="shared" si="0"/>
        <v>NBV12_U_45</v>
      </c>
      <c r="B21">
        <v>18</v>
      </c>
      <c r="C21">
        <v>45</v>
      </c>
      <c r="D21" s="119" t="s">
        <v>74</v>
      </c>
    </row>
    <row r="22" spans="1:4" x14ac:dyDescent="0.2">
      <c r="A22" t="str">
        <f t="shared" si="0"/>
        <v>NBV12_U_50</v>
      </c>
      <c r="B22">
        <v>20</v>
      </c>
      <c r="C22">
        <v>50</v>
      </c>
      <c r="D22" s="119" t="s">
        <v>74</v>
      </c>
    </row>
    <row r="23" spans="1:4" x14ac:dyDescent="0.2">
      <c r="A23" t="str">
        <f t="shared" si="0"/>
        <v/>
      </c>
    </row>
    <row r="24" spans="1:4" x14ac:dyDescent="0.2">
      <c r="A24" t="str">
        <f t="shared" si="0"/>
        <v>NBI15_5</v>
      </c>
      <c r="B24" s="122">
        <v>2</v>
      </c>
      <c r="C24" s="122">
        <v>5</v>
      </c>
      <c r="D24" s="119" t="s">
        <v>76</v>
      </c>
    </row>
    <row r="25" spans="1:4" x14ac:dyDescent="0.2">
      <c r="A25" t="str">
        <f t="shared" si="0"/>
        <v>NBI15_10</v>
      </c>
      <c r="B25">
        <v>4</v>
      </c>
      <c r="C25">
        <v>10</v>
      </c>
      <c r="D25" s="119" t="s">
        <v>76</v>
      </c>
    </row>
    <row r="26" spans="1:4" x14ac:dyDescent="0.2">
      <c r="A26" t="str">
        <f t="shared" si="0"/>
        <v>NBI15_15</v>
      </c>
      <c r="B26">
        <v>6</v>
      </c>
      <c r="C26">
        <v>15</v>
      </c>
      <c r="D26" s="119" t="s">
        <v>76</v>
      </c>
    </row>
    <row r="27" spans="1:4" x14ac:dyDescent="0.2">
      <c r="A27" t="str">
        <f t="shared" si="0"/>
        <v>NBI15_20</v>
      </c>
      <c r="B27">
        <v>8</v>
      </c>
      <c r="C27">
        <v>20</v>
      </c>
      <c r="D27" s="119" t="s">
        <v>76</v>
      </c>
    </row>
    <row r="28" spans="1:4" x14ac:dyDescent="0.2">
      <c r="A28" t="str">
        <f t="shared" si="0"/>
        <v>NBI15_25</v>
      </c>
      <c r="B28">
        <v>10</v>
      </c>
      <c r="C28">
        <v>25</v>
      </c>
      <c r="D28" s="119" t="s">
        <v>76</v>
      </c>
    </row>
    <row r="29" spans="1:4" x14ac:dyDescent="0.2">
      <c r="A29" t="str">
        <f t="shared" si="0"/>
        <v>NBI15_30</v>
      </c>
      <c r="B29">
        <v>12</v>
      </c>
      <c r="C29">
        <v>30</v>
      </c>
      <c r="D29" s="119" t="s">
        <v>76</v>
      </c>
    </row>
    <row r="30" spans="1:4" x14ac:dyDescent="0.2">
      <c r="A30" t="str">
        <f t="shared" si="0"/>
        <v>NBI15_35</v>
      </c>
      <c r="B30">
        <v>14</v>
      </c>
      <c r="C30">
        <v>35</v>
      </c>
      <c r="D30" s="119" t="s">
        <v>76</v>
      </c>
    </row>
    <row r="31" spans="1:4" x14ac:dyDescent="0.2">
      <c r="A31" t="str">
        <f t="shared" si="0"/>
        <v>NBI15_40</v>
      </c>
      <c r="B31">
        <v>16</v>
      </c>
      <c r="C31">
        <v>40</v>
      </c>
      <c r="D31" s="119" t="s">
        <v>76</v>
      </c>
    </row>
    <row r="32" spans="1:4" x14ac:dyDescent="0.2">
      <c r="A32" t="str">
        <f t="shared" si="0"/>
        <v>NBI15_45</v>
      </c>
      <c r="B32">
        <v>18</v>
      </c>
      <c r="C32">
        <v>45</v>
      </c>
      <c r="D32" s="119" t="s">
        <v>76</v>
      </c>
    </row>
    <row r="33" spans="1:4" x14ac:dyDescent="0.2">
      <c r="A33" t="str">
        <f t="shared" si="0"/>
        <v>NBI15_50</v>
      </c>
      <c r="B33">
        <v>20</v>
      </c>
      <c r="C33">
        <v>50</v>
      </c>
      <c r="D33" s="119" t="s">
        <v>76</v>
      </c>
    </row>
    <row r="34" spans="1:4" x14ac:dyDescent="0.2">
      <c r="A34" t="str">
        <f t="shared" si="0"/>
        <v/>
      </c>
    </row>
    <row r="35" spans="1:4" x14ac:dyDescent="0.2">
      <c r="A35" t="str">
        <f t="shared" si="0"/>
        <v>NBI12_U_5</v>
      </c>
      <c r="B35" s="122">
        <v>2</v>
      </c>
      <c r="C35" s="122">
        <v>5</v>
      </c>
      <c r="D35" t="s">
        <v>78</v>
      </c>
    </row>
    <row r="36" spans="1:4" x14ac:dyDescent="0.2">
      <c r="A36" t="str">
        <f t="shared" si="0"/>
        <v>NBI12_U_10</v>
      </c>
      <c r="B36">
        <v>4</v>
      </c>
      <c r="C36">
        <v>10</v>
      </c>
      <c r="D36" t="s">
        <v>78</v>
      </c>
    </row>
    <row r="37" spans="1:4" x14ac:dyDescent="0.2">
      <c r="A37" t="str">
        <f t="shared" si="0"/>
        <v>NBI12_U_15</v>
      </c>
      <c r="B37">
        <v>6</v>
      </c>
      <c r="C37">
        <v>15</v>
      </c>
      <c r="D37" t="s">
        <v>78</v>
      </c>
    </row>
    <row r="38" spans="1:4" x14ac:dyDescent="0.2">
      <c r="A38" t="str">
        <f t="shared" si="0"/>
        <v>NBI12_U_20</v>
      </c>
      <c r="B38">
        <v>8</v>
      </c>
      <c r="C38">
        <v>20</v>
      </c>
      <c r="D38" t="s">
        <v>78</v>
      </c>
    </row>
    <row r="39" spans="1:4" x14ac:dyDescent="0.2">
      <c r="A39" t="str">
        <f t="shared" si="0"/>
        <v>NBI12_U_25</v>
      </c>
      <c r="B39">
        <v>10</v>
      </c>
      <c r="C39">
        <v>25</v>
      </c>
      <c r="D39" t="s">
        <v>78</v>
      </c>
    </row>
    <row r="40" spans="1:4" x14ac:dyDescent="0.2">
      <c r="A40" t="str">
        <f t="shared" si="0"/>
        <v>NBI12_U_30</v>
      </c>
      <c r="B40">
        <v>12</v>
      </c>
      <c r="C40">
        <v>30</v>
      </c>
      <c r="D40" t="s">
        <v>78</v>
      </c>
    </row>
    <row r="41" spans="1:4" x14ac:dyDescent="0.2">
      <c r="A41" t="str">
        <f t="shared" si="0"/>
        <v>NBI12_U_35</v>
      </c>
      <c r="B41">
        <v>14</v>
      </c>
      <c r="C41">
        <v>35</v>
      </c>
      <c r="D41" t="s">
        <v>78</v>
      </c>
    </row>
    <row r="42" spans="1:4" x14ac:dyDescent="0.2">
      <c r="A42" t="str">
        <f t="shared" si="0"/>
        <v>NBI12_U_40</v>
      </c>
      <c r="B42">
        <v>16</v>
      </c>
      <c r="C42">
        <v>40</v>
      </c>
      <c r="D42" t="s">
        <v>78</v>
      </c>
    </row>
    <row r="43" spans="1:4" x14ac:dyDescent="0.2">
      <c r="A43" t="str">
        <f t="shared" si="0"/>
        <v>NBI12_U_45</v>
      </c>
      <c r="B43">
        <v>18</v>
      </c>
      <c r="C43">
        <v>45</v>
      </c>
      <c r="D43" t="s">
        <v>78</v>
      </c>
    </row>
    <row r="44" spans="1:4" x14ac:dyDescent="0.2">
      <c r="A44" t="str">
        <f t="shared" si="0"/>
        <v>NBI12_U_50</v>
      </c>
      <c r="B44">
        <v>20</v>
      </c>
      <c r="C44">
        <v>50</v>
      </c>
      <c r="D44" t="s">
        <v>78</v>
      </c>
    </row>
    <row r="45" spans="1:4" x14ac:dyDescent="0.2">
      <c r="A45" t="str">
        <f t="shared" si="0"/>
        <v/>
      </c>
    </row>
    <row r="46" spans="1:4" x14ac:dyDescent="0.2">
      <c r="A46" t="str">
        <f t="shared" si="0"/>
        <v>NBI12_Kita_5</v>
      </c>
      <c r="B46" s="122">
        <v>2</v>
      </c>
      <c r="C46" s="122">
        <v>5</v>
      </c>
      <c r="D46" t="s">
        <v>80</v>
      </c>
    </row>
    <row r="47" spans="1:4" x14ac:dyDescent="0.2">
      <c r="A47" t="str">
        <f t="shared" si="0"/>
        <v>NBI12_Kita_10</v>
      </c>
      <c r="B47">
        <v>4</v>
      </c>
      <c r="C47">
        <v>10</v>
      </c>
      <c r="D47" t="s">
        <v>80</v>
      </c>
    </row>
    <row r="48" spans="1:4" x14ac:dyDescent="0.2">
      <c r="A48" t="str">
        <f t="shared" si="0"/>
        <v>NBI12_Kita_15</v>
      </c>
      <c r="B48">
        <v>6</v>
      </c>
      <c r="C48">
        <v>15</v>
      </c>
      <c r="D48" t="s">
        <v>80</v>
      </c>
    </row>
    <row r="49" spans="1:4" x14ac:dyDescent="0.2">
      <c r="A49" t="str">
        <f t="shared" si="0"/>
        <v>NBI12_Kita_20</v>
      </c>
      <c r="B49">
        <v>8</v>
      </c>
      <c r="C49">
        <v>20</v>
      </c>
      <c r="D49" t="s">
        <v>80</v>
      </c>
    </row>
    <row r="50" spans="1:4" x14ac:dyDescent="0.2">
      <c r="A50" t="str">
        <f t="shared" si="0"/>
        <v>NBI12_Kita_25</v>
      </c>
      <c r="B50">
        <v>10</v>
      </c>
      <c r="C50">
        <v>25</v>
      </c>
      <c r="D50" t="s">
        <v>80</v>
      </c>
    </row>
    <row r="51" spans="1:4" x14ac:dyDescent="0.2">
      <c r="A51" t="str">
        <f t="shared" si="0"/>
        <v>NBI12_Kita_30</v>
      </c>
      <c r="B51">
        <v>12</v>
      </c>
      <c r="C51">
        <v>30</v>
      </c>
      <c r="D51" t="s">
        <v>80</v>
      </c>
    </row>
    <row r="52" spans="1:4" x14ac:dyDescent="0.2">
      <c r="A52" t="str">
        <f t="shared" si="0"/>
        <v>NBI12_Kita_35</v>
      </c>
      <c r="B52">
        <v>14</v>
      </c>
      <c r="C52">
        <v>35</v>
      </c>
      <c r="D52" t="s">
        <v>80</v>
      </c>
    </row>
    <row r="53" spans="1:4" x14ac:dyDescent="0.2">
      <c r="A53" t="str">
        <f t="shared" si="0"/>
        <v>NBI12_Kita_40</v>
      </c>
      <c r="B53">
        <v>16</v>
      </c>
      <c r="C53">
        <v>40</v>
      </c>
      <c r="D53" t="s">
        <v>80</v>
      </c>
    </row>
    <row r="54" spans="1:4" x14ac:dyDescent="0.2">
      <c r="A54" t="str">
        <f t="shared" si="0"/>
        <v>NBI12_Kita_45</v>
      </c>
      <c r="B54">
        <v>18</v>
      </c>
      <c r="C54">
        <v>45</v>
      </c>
      <c r="D54" t="s">
        <v>80</v>
      </c>
    </row>
    <row r="55" spans="1:4" x14ac:dyDescent="0.2">
      <c r="A55" t="str">
        <f t="shared" si="0"/>
        <v>NBI12_Kita_50</v>
      </c>
      <c r="B55">
        <v>20</v>
      </c>
      <c r="C55">
        <v>50</v>
      </c>
      <c r="D55" t="s">
        <v>80</v>
      </c>
    </row>
    <row r="56" spans="1:4" x14ac:dyDescent="0.2">
      <c r="A56" t="str">
        <f t="shared" si="0"/>
        <v/>
      </c>
    </row>
    <row r="57" spans="1:4" x14ac:dyDescent="0.2">
      <c r="A57" t="str">
        <f t="shared" si="0"/>
        <v>NWO15_5</v>
      </c>
      <c r="B57" s="122">
        <v>2</v>
      </c>
      <c r="C57" s="122">
        <v>5</v>
      </c>
      <c r="D57" t="s">
        <v>82</v>
      </c>
    </row>
    <row r="58" spans="1:4" x14ac:dyDescent="0.2">
      <c r="A58" t="str">
        <f t="shared" si="0"/>
        <v>NWO15_10</v>
      </c>
      <c r="B58">
        <v>4</v>
      </c>
      <c r="C58">
        <v>10</v>
      </c>
      <c r="D58" t="s">
        <v>82</v>
      </c>
    </row>
    <row r="59" spans="1:4" x14ac:dyDescent="0.2">
      <c r="A59" t="str">
        <f t="shared" si="0"/>
        <v>NWO15_15</v>
      </c>
      <c r="B59">
        <v>6</v>
      </c>
      <c r="C59">
        <v>15</v>
      </c>
      <c r="D59" t="s">
        <v>82</v>
      </c>
    </row>
    <row r="60" spans="1:4" x14ac:dyDescent="0.2">
      <c r="A60" t="str">
        <f t="shared" si="0"/>
        <v>NWO15_20</v>
      </c>
      <c r="B60">
        <v>8</v>
      </c>
      <c r="C60">
        <v>20</v>
      </c>
      <c r="D60" t="s">
        <v>82</v>
      </c>
    </row>
    <row r="61" spans="1:4" x14ac:dyDescent="0.2">
      <c r="A61" t="str">
        <f t="shared" si="0"/>
        <v>NWO15_25</v>
      </c>
      <c r="B61">
        <v>10</v>
      </c>
      <c r="C61">
        <v>25</v>
      </c>
      <c r="D61" t="s">
        <v>82</v>
      </c>
    </row>
    <row r="62" spans="1:4" x14ac:dyDescent="0.2">
      <c r="A62" t="str">
        <f t="shared" si="0"/>
        <v>NWO15_30</v>
      </c>
      <c r="B62">
        <v>12</v>
      </c>
      <c r="C62">
        <v>30</v>
      </c>
      <c r="D62" t="s">
        <v>82</v>
      </c>
    </row>
    <row r="63" spans="1:4" x14ac:dyDescent="0.2">
      <c r="A63" t="str">
        <f t="shared" si="0"/>
        <v>NWO15_35</v>
      </c>
      <c r="B63">
        <v>14</v>
      </c>
      <c r="C63">
        <v>35</v>
      </c>
      <c r="D63" t="s">
        <v>82</v>
      </c>
    </row>
    <row r="64" spans="1:4" x14ac:dyDescent="0.2">
      <c r="A64" t="str">
        <f t="shared" si="0"/>
        <v>NWO15_40</v>
      </c>
      <c r="B64">
        <v>16</v>
      </c>
      <c r="C64">
        <v>40</v>
      </c>
      <c r="D64" t="s">
        <v>82</v>
      </c>
    </row>
    <row r="65" spans="1:4" x14ac:dyDescent="0.2">
      <c r="A65" t="str">
        <f t="shared" si="0"/>
        <v>NWO15_45</v>
      </c>
      <c r="B65">
        <v>18</v>
      </c>
      <c r="C65">
        <v>45</v>
      </c>
      <c r="D65" t="s">
        <v>82</v>
      </c>
    </row>
    <row r="66" spans="1:4" x14ac:dyDescent="0.2">
      <c r="A66" t="str">
        <f t="shared" si="0"/>
        <v>NWO15_50</v>
      </c>
      <c r="B66">
        <v>20</v>
      </c>
      <c r="C66">
        <v>50</v>
      </c>
      <c r="D66" t="s">
        <v>82</v>
      </c>
    </row>
    <row r="67" spans="1:4" x14ac:dyDescent="0.2">
      <c r="A67" t="str">
        <f t="shared" ref="A67:A130" si="1">IF(D67="","",CONCATENATE(D67,"_",C67))</f>
        <v/>
      </c>
    </row>
    <row r="68" spans="1:4" x14ac:dyDescent="0.2">
      <c r="A68" t="str">
        <f t="shared" si="1"/>
        <v>NWO12_U_5</v>
      </c>
      <c r="B68" s="122">
        <v>2</v>
      </c>
      <c r="C68" s="122">
        <v>5</v>
      </c>
      <c r="D68" t="s">
        <v>83</v>
      </c>
    </row>
    <row r="69" spans="1:4" x14ac:dyDescent="0.2">
      <c r="A69" t="str">
        <f t="shared" si="1"/>
        <v>NWO12_U_10</v>
      </c>
      <c r="B69">
        <v>4</v>
      </c>
      <c r="C69">
        <v>10</v>
      </c>
      <c r="D69" t="s">
        <v>83</v>
      </c>
    </row>
    <row r="70" spans="1:4" x14ac:dyDescent="0.2">
      <c r="A70" t="str">
        <f t="shared" si="1"/>
        <v>NWO12_U_15</v>
      </c>
      <c r="B70">
        <v>6</v>
      </c>
      <c r="C70">
        <v>15</v>
      </c>
      <c r="D70" t="s">
        <v>83</v>
      </c>
    </row>
    <row r="71" spans="1:4" x14ac:dyDescent="0.2">
      <c r="A71" t="str">
        <f t="shared" si="1"/>
        <v>NWO12_U_20</v>
      </c>
      <c r="B71">
        <v>8</v>
      </c>
      <c r="C71">
        <v>20</v>
      </c>
      <c r="D71" t="s">
        <v>83</v>
      </c>
    </row>
    <row r="72" spans="1:4" x14ac:dyDescent="0.2">
      <c r="A72" t="str">
        <f t="shared" si="1"/>
        <v>NWO12_U_25</v>
      </c>
      <c r="B72">
        <v>10</v>
      </c>
      <c r="C72">
        <v>25</v>
      </c>
      <c r="D72" t="s">
        <v>83</v>
      </c>
    </row>
    <row r="73" spans="1:4" x14ac:dyDescent="0.2">
      <c r="A73" t="str">
        <f t="shared" si="1"/>
        <v>NWO12_U_30</v>
      </c>
      <c r="B73">
        <v>12</v>
      </c>
      <c r="C73">
        <v>30</v>
      </c>
      <c r="D73" t="s">
        <v>83</v>
      </c>
    </row>
    <row r="74" spans="1:4" x14ac:dyDescent="0.2">
      <c r="A74" t="str">
        <f t="shared" si="1"/>
        <v>NWO12_U_35</v>
      </c>
      <c r="B74">
        <v>14</v>
      </c>
      <c r="C74">
        <v>35</v>
      </c>
      <c r="D74" t="s">
        <v>83</v>
      </c>
    </row>
    <row r="75" spans="1:4" x14ac:dyDescent="0.2">
      <c r="A75" t="str">
        <f t="shared" si="1"/>
        <v>NWO12_U_40</v>
      </c>
      <c r="B75">
        <v>16</v>
      </c>
      <c r="C75">
        <v>40</v>
      </c>
      <c r="D75" t="s">
        <v>83</v>
      </c>
    </row>
    <row r="76" spans="1:4" x14ac:dyDescent="0.2">
      <c r="A76" t="str">
        <f t="shared" si="1"/>
        <v>NWO12_U_45</v>
      </c>
      <c r="B76">
        <v>18</v>
      </c>
      <c r="C76">
        <v>45</v>
      </c>
      <c r="D76" t="s">
        <v>83</v>
      </c>
    </row>
    <row r="77" spans="1:4" x14ac:dyDescent="0.2">
      <c r="A77" t="str">
        <f t="shared" si="1"/>
        <v>NWO12_U_50</v>
      </c>
      <c r="B77">
        <v>20</v>
      </c>
      <c r="C77">
        <v>50</v>
      </c>
      <c r="D77" t="s">
        <v>83</v>
      </c>
    </row>
    <row r="78" spans="1:4" x14ac:dyDescent="0.2">
      <c r="A78" t="str">
        <f t="shared" si="1"/>
        <v/>
      </c>
    </row>
    <row r="79" spans="1:4" x14ac:dyDescent="0.2">
      <c r="A79" t="str">
        <f t="shared" si="1"/>
        <v>NKW13_5</v>
      </c>
      <c r="B79" s="122">
        <v>2</v>
      </c>
      <c r="C79" s="122">
        <v>5</v>
      </c>
      <c r="D79" t="s">
        <v>84</v>
      </c>
    </row>
    <row r="80" spans="1:4" x14ac:dyDescent="0.2">
      <c r="A80" t="str">
        <f t="shared" si="1"/>
        <v>NKW13_10</v>
      </c>
      <c r="B80">
        <v>4</v>
      </c>
      <c r="C80">
        <v>10</v>
      </c>
      <c r="D80" t="s">
        <v>84</v>
      </c>
    </row>
    <row r="81" spans="1:4" x14ac:dyDescent="0.2">
      <c r="A81" t="str">
        <f t="shared" si="1"/>
        <v>NKW13_15</v>
      </c>
      <c r="B81">
        <v>6</v>
      </c>
      <c r="C81">
        <v>15</v>
      </c>
      <c r="D81" t="s">
        <v>84</v>
      </c>
    </row>
    <row r="82" spans="1:4" x14ac:dyDescent="0.2">
      <c r="A82" t="str">
        <f t="shared" si="1"/>
        <v>NKW13_20</v>
      </c>
      <c r="B82">
        <v>8</v>
      </c>
      <c r="C82">
        <v>20</v>
      </c>
      <c r="D82" t="s">
        <v>84</v>
      </c>
    </row>
    <row r="83" spans="1:4" x14ac:dyDescent="0.2">
      <c r="A83" t="str">
        <f t="shared" si="1"/>
        <v>NKW13_25</v>
      </c>
      <c r="B83">
        <v>10</v>
      </c>
      <c r="C83">
        <v>25</v>
      </c>
      <c r="D83" t="s">
        <v>84</v>
      </c>
    </row>
    <row r="84" spans="1:4" x14ac:dyDescent="0.2">
      <c r="A84" t="str">
        <f t="shared" si="1"/>
        <v>NKW13_30</v>
      </c>
      <c r="B84">
        <v>12</v>
      </c>
      <c r="C84">
        <v>30</v>
      </c>
      <c r="D84" t="s">
        <v>84</v>
      </c>
    </row>
    <row r="85" spans="1:4" x14ac:dyDescent="0.2">
      <c r="A85" t="str">
        <f t="shared" si="1"/>
        <v>NKW13_35</v>
      </c>
      <c r="B85">
        <v>14</v>
      </c>
      <c r="C85">
        <v>35</v>
      </c>
      <c r="D85" t="s">
        <v>84</v>
      </c>
    </row>
    <row r="86" spans="1:4" x14ac:dyDescent="0.2">
      <c r="A86" t="str">
        <f t="shared" si="1"/>
        <v>NKW13_40</v>
      </c>
      <c r="B86">
        <v>16</v>
      </c>
      <c r="C86">
        <v>40</v>
      </c>
      <c r="D86" t="s">
        <v>84</v>
      </c>
    </row>
    <row r="87" spans="1:4" x14ac:dyDescent="0.2">
      <c r="A87" t="str">
        <f t="shared" si="1"/>
        <v>NKW13_45</v>
      </c>
      <c r="B87">
        <v>18</v>
      </c>
      <c r="C87">
        <v>45</v>
      </c>
      <c r="D87" t="s">
        <v>84</v>
      </c>
    </row>
    <row r="88" spans="1:4" x14ac:dyDescent="0.2">
      <c r="A88" t="str">
        <f t="shared" si="1"/>
        <v>NKW13_50</v>
      </c>
      <c r="B88">
        <v>20</v>
      </c>
      <c r="C88">
        <v>50</v>
      </c>
      <c r="D88" t="s">
        <v>84</v>
      </c>
    </row>
    <row r="89" spans="1:4" x14ac:dyDescent="0.2">
      <c r="A89" t="str">
        <f t="shared" si="1"/>
        <v/>
      </c>
    </row>
    <row r="90" spans="1:4" x14ac:dyDescent="0.2">
      <c r="A90" t="str">
        <f t="shared" si="1"/>
        <v>NGH15_5</v>
      </c>
      <c r="B90" s="122">
        <v>2</v>
      </c>
      <c r="C90" s="122">
        <v>5</v>
      </c>
      <c r="D90" t="s">
        <v>85</v>
      </c>
    </row>
    <row r="91" spans="1:4" x14ac:dyDescent="0.2">
      <c r="A91" t="str">
        <f t="shared" si="1"/>
        <v>NGH15_10</v>
      </c>
      <c r="B91">
        <v>4</v>
      </c>
      <c r="C91">
        <v>10</v>
      </c>
      <c r="D91" t="s">
        <v>85</v>
      </c>
    </row>
    <row r="92" spans="1:4" x14ac:dyDescent="0.2">
      <c r="A92" t="str">
        <f t="shared" si="1"/>
        <v>NGH15_15</v>
      </c>
      <c r="B92">
        <v>6</v>
      </c>
      <c r="C92">
        <v>15</v>
      </c>
      <c r="D92" t="s">
        <v>85</v>
      </c>
    </row>
    <row r="93" spans="1:4" x14ac:dyDescent="0.2">
      <c r="A93" t="str">
        <f t="shared" si="1"/>
        <v>NGH15_20</v>
      </c>
      <c r="B93">
        <v>8</v>
      </c>
      <c r="C93">
        <v>20</v>
      </c>
      <c r="D93" t="s">
        <v>85</v>
      </c>
    </row>
    <row r="94" spans="1:4" x14ac:dyDescent="0.2">
      <c r="A94" t="str">
        <f t="shared" si="1"/>
        <v>NGH15_25</v>
      </c>
      <c r="B94">
        <v>10</v>
      </c>
      <c r="C94">
        <v>25</v>
      </c>
      <c r="D94" t="s">
        <v>85</v>
      </c>
    </row>
    <row r="95" spans="1:4" x14ac:dyDescent="0.2">
      <c r="A95" t="str">
        <f t="shared" si="1"/>
        <v>NGH15_30</v>
      </c>
      <c r="B95">
        <v>12</v>
      </c>
      <c r="C95">
        <v>30</v>
      </c>
      <c r="D95" t="s">
        <v>85</v>
      </c>
    </row>
    <row r="96" spans="1:4" x14ac:dyDescent="0.2">
      <c r="A96" t="str">
        <f t="shared" si="1"/>
        <v>NGH15_35</v>
      </c>
      <c r="B96">
        <v>14</v>
      </c>
      <c r="C96">
        <v>35</v>
      </c>
      <c r="D96" t="s">
        <v>85</v>
      </c>
    </row>
    <row r="97" spans="1:4" x14ac:dyDescent="0.2">
      <c r="A97" t="str">
        <f t="shared" si="1"/>
        <v>NGH15_40</v>
      </c>
      <c r="B97">
        <v>16</v>
      </c>
      <c r="C97">
        <v>40</v>
      </c>
      <c r="D97" t="s">
        <v>85</v>
      </c>
    </row>
    <row r="98" spans="1:4" x14ac:dyDescent="0.2">
      <c r="A98" t="str">
        <f t="shared" si="1"/>
        <v>NGH15_45</v>
      </c>
      <c r="B98">
        <v>18</v>
      </c>
      <c r="C98">
        <v>45</v>
      </c>
      <c r="D98" t="s">
        <v>85</v>
      </c>
    </row>
    <row r="99" spans="1:4" x14ac:dyDescent="0.2">
      <c r="A99" t="str">
        <f t="shared" si="1"/>
        <v>NGH15_50</v>
      </c>
      <c r="B99">
        <v>20</v>
      </c>
      <c r="C99">
        <v>50</v>
      </c>
      <c r="D99" t="s">
        <v>85</v>
      </c>
    </row>
    <row r="100" spans="1:4" x14ac:dyDescent="0.2">
      <c r="A100" t="str">
        <f t="shared" si="1"/>
        <v/>
      </c>
    </row>
    <row r="101" spans="1:4" x14ac:dyDescent="0.2">
      <c r="A101" t="str">
        <f t="shared" si="1"/>
        <v>NSC15_5</v>
      </c>
      <c r="B101" s="122">
        <v>2</v>
      </c>
      <c r="C101" s="122">
        <v>5</v>
      </c>
      <c r="D101" t="s">
        <v>86</v>
      </c>
    </row>
    <row r="102" spans="1:4" x14ac:dyDescent="0.2">
      <c r="A102" t="str">
        <f t="shared" si="1"/>
        <v>NSC15_10</v>
      </c>
      <c r="B102">
        <v>4</v>
      </c>
      <c r="C102">
        <v>10</v>
      </c>
      <c r="D102" t="s">
        <v>86</v>
      </c>
    </row>
    <row r="103" spans="1:4" x14ac:dyDescent="0.2">
      <c r="A103" t="str">
        <f t="shared" si="1"/>
        <v>NSC15_15</v>
      </c>
      <c r="B103">
        <v>6</v>
      </c>
      <c r="C103">
        <v>15</v>
      </c>
      <c r="D103" t="s">
        <v>86</v>
      </c>
    </row>
    <row r="104" spans="1:4" x14ac:dyDescent="0.2">
      <c r="A104" t="str">
        <f t="shared" si="1"/>
        <v>NSC15_20</v>
      </c>
      <c r="B104">
        <v>8</v>
      </c>
      <c r="C104">
        <v>20</v>
      </c>
      <c r="D104" t="s">
        <v>86</v>
      </c>
    </row>
    <row r="105" spans="1:4" x14ac:dyDescent="0.2">
      <c r="A105" t="str">
        <f t="shared" si="1"/>
        <v>NSC15_25</v>
      </c>
      <c r="B105">
        <v>10</v>
      </c>
      <c r="C105">
        <v>25</v>
      </c>
      <c r="D105" t="s">
        <v>86</v>
      </c>
    </row>
    <row r="106" spans="1:4" x14ac:dyDescent="0.2">
      <c r="A106" t="str">
        <f t="shared" si="1"/>
        <v>NSC15_30</v>
      </c>
      <c r="B106">
        <v>12</v>
      </c>
      <c r="C106">
        <v>30</v>
      </c>
      <c r="D106" t="s">
        <v>86</v>
      </c>
    </row>
    <row r="107" spans="1:4" x14ac:dyDescent="0.2">
      <c r="A107" t="str">
        <f t="shared" si="1"/>
        <v>NSC15_35</v>
      </c>
      <c r="B107">
        <v>14</v>
      </c>
      <c r="C107">
        <v>35</v>
      </c>
      <c r="D107" t="s">
        <v>86</v>
      </c>
    </row>
    <row r="108" spans="1:4" x14ac:dyDescent="0.2">
      <c r="A108" t="str">
        <f t="shared" si="1"/>
        <v>NSC15_40</v>
      </c>
      <c r="B108">
        <v>16</v>
      </c>
      <c r="C108">
        <v>40</v>
      </c>
      <c r="D108" t="s">
        <v>86</v>
      </c>
    </row>
    <row r="109" spans="1:4" x14ac:dyDescent="0.2">
      <c r="A109" t="str">
        <f t="shared" si="1"/>
        <v>NSC15_45</v>
      </c>
      <c r="B109">
        <v>18</v>
      </c>
      <c r="C109">
        <v>45</v>
      </c>
      <c r="D109" t="s">
        <v>86</v>
      </c>
    </row>
    <row r="110" spans="1:4" x14ac:dyDescent="0.2">
      <c r="A110" t="str">
        <f t="shared" si="1"/>
        <v>NSC15_50</v>
      </c>
      <c r="B110">
        <v>20</v>
      </c>
      <c r="C110">
        <v>50</v>
      </c>
      <c r="D110" t="s">
        <v>86</v>
      </c>
    </row>
    <row r="111" spans="1:4" x14ac:dyDescent="0.2">
      <c r="A111" t="str">
        <f t="shared" si="1"/>
        <v/>
      </c>
    </row>
    <row r="112" spans="1:4" x14ac:dyDescent="0.2">
      <c r="A112" t="str">
        <f t="shared" si="1"/>
        <v>NVM15_5</v>
      </c>
      <c r="B112" s="122">
        <v>2</v>
      </c>
      <c r="C112" s="122">
        <v>5</v>
      </c>
      <c r="D112" t="s">
        <v>87</v>
      </c>
    </row>
    <row r="113" spans="1:4" x14ac:dyDescent="0.2">
      <c r="A113" t="str">
        <f t="shared" si="1"/>
        <v>NVM15_10</v>
      </c>
      <c r="B113">
        <v>4</v>
      </c>
      <c r="C113">
        <v>10</v>
      </c>
      <c r="D113" t="s">
        <v>87</v>
      </c>
    </row>
    <row r="114" spans="1:4" x14ac:dyDescent="0.2">
      <c r="A114" t="str">
        <f t="shared" si="1"/>
        <v>NVM15_15</v>
      </c>
      <c r="B114">
        <v>6</v>
      </c>
      <c r="C114">
        <v>15</v>
      </c>
      <c r="D114" t="s">
        <v>87</v>
      </c>
    </row>
    <row r="115" spans="1:4" x14ac:dyDescent="0.2">
      <c r="A115" t="str">
        <f t="shared" si="1"/>
        <v>NVM15_20</v>
      </c>
      <c r="B115">
        <v>8</v>
      </c>
      <c r="C115">
        <v>20</v>
      </c>
      <c r="D115" t="s">
        <v>87</v>
      </c>
    </row>
    <row r="116" spans="1:4" x14ac:dyDescent="0.2">
      <c r="A116" t="str">
        <f t="shared" si="1"/>
        <v>NVM15_25</v>
      </c>
      <c r="B116">
        <v>10</v>
      </c>
      <c r="C116">
        <v>25</v>
      </c>
      <c r="D116" t="s">
        <v>87</v>
      </c>
    </row>
    <row r="117" spans="1:4" x14ac:dyDescent="0.2">
      <c r="A117" t="str">
        <f t="shared" si="1"/>
        <v>NVM15_30</v>
      </c>
      <c r="B117">
        <v>12</v>
      </c>
      <c r="C117">
        <v>30</v>
      </c>
      <c r="D117" t="s">
        <v>87</v>
      </c>
    </row>
    <row r="118" spans="1:4" x14ac:dyDescent="0.2">
      <c r="A118" t="str">
        <f t="shared" si="1"/>
        <v>NVM15_35</v>
      </c>
      <c r="B118">
        <v>14</v>
      </c>
      <c r="C118">
        <v>35</v>
      </c>
      <c r="D118" t="s">
        <v>87</v>
      </c>
    </row>
    <row r="119" spans="1:4" x14ac:dyDescent="0.2">
      <c r="A119" t="str">
        <f t="shared" si="1"/>
        <v>NVM15_40</v>
      </c>
      <c r="B119">
        <v>16</v>
      </c>
      <c r="C119">
        <v>40</v>
      </c>
      <c r="D119" t="s">
        <v>87</v>
      </c>
    </row>
    <row r="120" spans="1:4" x14ac:dyDescent="0.2">
      <c r="A120" t="str">
        <f t="shared" si="1"/>
        <v>NVM15_45</v>
      </c>
      <c r="B120">
        <v>18</v>
      </c>
      <c r="C120">
        <v>45</v>
      </c>
      <c r="D120" t="s">
        <v>87</v>
      </c>
    </row>
    <row r="121" spans="1:4" x14ac:dyDescent="0.2">
      <c r="A121" t="str">
        <f t="shared" si="1"/>
        <v>NVM15_50</v>
      </c>
      <c r="B121">
        <v>20</v>
      </c>
      <c r="C121">
        <v>50</v>
      </c>
      <c r="D121" t="s">
        <v>87</v>
      </c>
    </row>
    <row r="122" spans="1:4" x14ac:dyDescent="0.2">
      <c r="A122" t="str">
        <f t="shared" si="1"/>
        <v/>
      </c>
    </row>
    <row r="123" spans="1:4" x14ac:dyDescent="0.2">
      <c r="A123" t="str">
        <f t="shared" si="1"/>
        <v>NHA13_Typ4_5</v>
      </c>
      <c r="B123" s="122">
        <v>2</v>
      </c>
      <c r="C123" s="122">
        <v>5</v>
      </c>
      <c r="D123" t="s">
        <v>88</v>
      </c>
    </row>
    <row r="124" spans="1:4" x14ac:dyDescent="0.2">
      <c r="A124" t="str">
        <f t="shared" si="1"/>
        <v>NHA13_Typ4_10</v>
      </c>
      <c r="B124">
        <v>4</v>
      </c>
      <c r="C124">
        <v>10</v>
      </c>
      <c r="D124" t="s">
        <v>88</v>
      </c>
    </row>
    <row r="125" spans="1:4" x14ac:dyDescent="0.2">
      <c r="A125" t="str">
        <f t="shared" si="1"/>
        <v>NHA13_Typ4_15</v>
      </c>
      <c r="B125">
        <v>6</v>
      </c>
      <c r="C125">
        <v>15</v>
      </c>
      <c r="D125" t="s">
        <v>88</v>
      </c>
    </row>
    <row r="126" spans="1:4" x14ac:dyDescent="0.2">
      <c r="A126" t="str">
        <f t="shared" si="1"/>
        <v>NHA13_Typ4_20</v>
      </c>
      <c r="B126">
        <v>8</v>
      </c>
      <c r="C126">
        <v>20</v>
      </c>
      <c r="D126" t="s">
        <v>88</v>
      </c>
    </row>
    <row r="127" spans="1:4" x14ac:dyDescent="0.2">
      <c r="A127" t="str">
        <f t="shared" si="1"/>
        <v>NHA13_Typ4_25</v>
      </c>
      <c r="B127">
        <v>10</v>
      </c>
      <c r="C127">
        <v>25</v>
      </c>
      <c r="D127" t="s">
        <v>88</v>
      </c>
    </row>
    <row r="128" spans="1:4" x14ac:dyDescent="0.2">
      <c r="A128" t="str">
        <f t="shared" si="1"/>
        <v>NHA13_Typ4_30</v>
      </c>
      <c r="B128">
        <v>12</v>
      </c>
      <c r="C128">
        <v>30</v>
      </c>
      <c r="D128" t="s">
        <v>88</v>
      </c>
    </row>
    <row r="129" spans="1:4" x14ac:dyDescent="0.2">
      <c r="A129" t="str">
        <f t="shared" si="1"/>
        <v>NHA13_Typ4_35</v>
      </c>
      <c r="B129">
        <v>14</v>
      </c>
      <c r="C129">
        <v>35</v>
      </c>
      <c r="D129" t="s">
        <v>88</v>
      </c>
    </row>
    <row r="130" spans="1:4" x14ac:dyDescent="0.2">
      <c r="A130" t="str">
        <f t="shared" si="1"/>
        <v>NHA13_Typ4_40</v>
      </c>
      <c r="B130">
        <v>16</v>
      </c>
      <c r="C130">
        <v>40</v>
      </c>
      <c r="D130" t="s">
        <v>88</v>
      </c>
    </row>
    <row r="131" spans="1:4" x14ac:dyDescent="0.2">
      <c r="A131" t="str">
        <f t="shared" ref="A131:A194" si="2">IF(D131="","",CONCATENATE(D131,"_",C131))</f>
        <v>NHA13_Typ4_45</v>
      </c>
      <c r="B131">
        <v>18</v>
      </c>
      <c r="C131">
        <v>45</v>
      </c>
      <c r="D131" t="s">
        <v>88</v>
      </c>
    </row>
    <row r="132" spans="1:4" x14ac:dyDescent="0.2">
      <c r="A132" t="str">
        <f t="shared" si="2"/>
        <v>NHA13_Typ4_50</v>
      </c>
      <c r="B132">
        <v>20</v>
      </c>
      <c r="C132">
        <v>50</v>
      </c>
      <c r="D132" t="s">
        <v>88</v>
      </c>
    </row>
    <row r="133" spans="1:4" x14ac:dyDescent="0.2">
      <c r="A133" t="str">
        <f t="shared" si="2"/>
        <v/>
      </c>
    </row>
    <row r="134" spans="1:4" x14ac:dyDescent="0.2">
      <c r="A134" t="str">
        <f t="shared" si="2"/>
        <v>NHA12_Typ2_U_5</v>
      </c>
      <c r="B134" s="122">
        <v>2</v>
      </c>
      <c r="C134" s="122">
        <v>5</v>
      </c>
      <c r="D134" t="s">
        <v>89</v>
      </c>
    </row>
    <row r="135" spans="1:4" x14ac:dyDescent="0.2">
      <c r="A135" t="str">
        <f t="shared" si="2"/>
        <v>NHA12_Typ2_U_10</v>
      </c>
      <c r="B135">
        <v>4</v>
      </c>
      <c r="C135">
        <v>10</v>
      </c>
      <c r="D135" t="s">
        <v>89</v>
      </c>
    </row>
    <row r="136" spans="1:4" x14ac:dyDescent="0.2">
      <c r="A136" t="str">
        <f t="shared" si="2"/>
        <v>NHA12_Typ2_U_15</v>
      </c>
      <c r="B136">
        <v>6</v>
      </c>
      <c r="C136">
        <v>15</v>
      </c>
      <c r="D136" t="s">
        <v>89</v>
      </c>
    </row>
    <row r="137" spans="1:4" x14ac:dyDescent="0.2">
      <c r="A137" t="str">
        <f t="shared" si="2"/>
        <v>NHA12_Typ2_U_20</v>
      </c>
      <c r="B137">
        <v>8</v>
      </c>
      <c r="C137">
        <v>20</v>
      </c>
      <c r="D137" t="s">
        <v>89</v>
      </c>
    </row>
    <row r="138" spans="1:4" x14ac:dyDescent="0.2">
      <c r="A138" t="str">
        <f t="shared" si="2"/>
        <v>NHA12_Typ2_U_25</v>
      </c>
      <c r="B138">
        <v>10</v>
      </c>
      <c r="C138">
        <v>25</v>
      </c>
      <c r="D138" t="s">
        <v>89</v>
      </c>
    </row>
    <row r="139" spans="1:4" x14ac:dyDescent="0.2">
      <c r="A139" t="str">
        <f t="shared" si="2"/>
        <v>NHA12_Typ2_U_30</v>
      </c>
      <c r="B139">
        <v>12</v>
      </c>
      <c r="C139">
        <v>30</v>
      </c>
      <c r="D139" t="s">
        <v>89</v>
      </c>
    </row>
    <row r="140" spans="1:4" x14ac:dyDescent="0.2">
      <c r="A140" t="str">
        <f t="shared" si="2"/>
        <v>NHA12_Typ2_U_35</v>
      </c>
      <c r="B140">
        <v>14</v>
      </c>
      <c r="C140">
        <v>35</v>
      </c>
      <c r="D140" t="s">
        <v>89</v>
      </c>
    </row>
    <row r="141" spans="1:4" x14ac:dyDescent="0.2">
      <c r="A141" t="str">
        <f t="shared" si="2"/>
        <v>NHA12_Typ2_U_40</v>
      </c>
      <c r="B141">
        <v>16</v>
      </c>
      <c r="C141">
        <v>40</v>
      </c>
      <c r="D141" t="s">
        <v>89</v>
      </c>
    </row>
    <row r="142" spans="1:4" x14ac:dyDescent="0.2">
      <c r="A142" t="str">
        <f t="shared" si="2"/>
        <v>NHA12_Typ2_U_45</v>
      </c>
      <c r="B142">
        <v>18</v>
      </c>
      <c r="C142">
        <v>45</v>
      </c>
      <c r="D142" t="s">
        <v>89</v>
      </c>
    </row>
    <row r="143" spans="1:4" x14ac:dyDescent="0.2">
      <c r="A143" t="str">
        <f t="shared" si="2"/>
        <v>NHA12_Typ2_U_50</v>
      </c>
      <c r="B143">
        <v>20</v>
      </c>
      <c r="C143">
        <v>50</v>
      </c>
      <c r="D143" t="s">
        <v>89</v>
      </c>
    </row>
    <row r="144" spans="1:4" x14ac:dyDescent="0.2">
      <c r="A144" t="str">
        <f t="shared" si="2"/>
        <v/>
      </c>
    </row>
    <row r="145" spans="1:4" x14ac:dyDescent="0.2">
      <c r="A145" t="str">
        <f t="shared" si="2"/>
        <v>NHA12_Typ1_U_5</v>
      </c>
      <c r="B145" s="122">
        <v>2</v>
      </c>
      <c r="C145" s="122">
        <v>5</v>
      </c>
      <c r="D145" t="s">
        <v>90</v>
      </c>
    </row>
    <row r="146" spans="1:4" x14ac:dyDescent="0.2">
      <c r="A146" t="str">
        <f t="shared" si="2"/>
        <v>NHA12_Typ1_U_10</v>
      </c>
      <c r="B146">
        <v>4</v>
      </c>
      <c r="C146">
        <v>10</v>
      </c>
      <c r="D146" t="s">
        <v>90</v>
      </c>
    </row>
    <row r="147" spans="1:4" x14ac:dyDescent="0.2">
      <c r="A147" t="str">
        <f t="shared" si="2"/>
        <v>NHA12_Typ1_U_15</v>
      </c>
      <c r="B147">
        <v>6</v>
      </c>
      <c r="C147">
        <v>15</v>
      </c>
      <c r="D147" t="s">
        <v>90</v>
      </c>
    </row>
    <row r="148" spans="1:4" x14ac:dyDescent="0.2">
      <c r="A148" t="str">
        <f t="shared" si="2"/>
        <v>NHA12_Typ1_U_20</v>
      </c>
      <c r="B148">
        <v>8</v>
      </c>
      <c r="C148">
        <v>20</v>
      </c>
      <c r="D148" t="s">
        <v>90</v>
      </c>
    </row>
    <row r="149" spans="1:4" x14ac:dyDescent="0.2">
      <c r="A149" t="str">
        <f t="shared" si="2"/>
        <v>NHA12_Typ1_U_25</v>
      </c>
      <c r="B149">
        <v>10</v>
      </c>
      <c r="C149">
        <v>25</v>
      </c>
      <c r="D149" t="s">
        <v>90</v>
      </c>
    </row>
    <row r="150" spans="1:4" x14ac:dyDescent="0.2">
      <c r="A150" t="str">
        <f t="shared" si="2"/>
        <v>NHA12_Typ1_U_30</v>
      </c>
      <c r="B150">
        <v>12</v>
      </c>
      <c r="C150">
        <v>30</v>
      </c>
      <c r="D150" t="s">
        <v>90</v>
      </c>
    </row>
    <row r="151" spans="1:4" x14ac:dyDescent="0.2">
      <c r="A151" t="str">
        <f t="shared" si="2"/>
        <v>NHA12_Typ1_U_35</v>
      </c>
      <c r="B151">
        <v>14</v>
      </c>
      <c r="C151">
        <v>35</v>
      </c>
      <c r="D151" t="s">
        <v>90</v>
      </c>
    </row>
    <row r="152" spans="1:4" x14ac:dyDescent="0.2">
      <c r="A152" t="str">
        <f t="shared" si="2"/>
        <v>NHA12_Typ1_U_40</v>
      </c>
      <c r="B152">
        <v>16</v>
      </c>
      <c r="C152">
        <v>40</v>
      </c>
      <c r="D152" t="s">
        <v>90</v>
      </c>
    </row>
    <row r="153" spans="1:4" x14ac:dyDescent="0.2">
      <c r="A153" t="str">
        <f t="shared" si="2"/>
        <v>NHA12_Typ1_U_45</v>
      </c>
      <c r="B153">
        <v>18</v>
      </c>
      <c r="C153">
        <v>45</v>
      </c>
      <c r="D153" t="s">
        <v>90</v>
      </c>
    </row>
    <row r="154" spans="1:4" x14ac:dyDescent="0.2">
      <c r="A154" t="str">
        <f t="shared" si="2"/>
        <v>NHA12_Typ1_U_50</v>
      </c>
      <c r="B154">
        <v>20</v>
      </c>
      <c r="C154">
        <v>50</v>
      </c>
      <c r="D154" t="s">
        <v>90</v>
      </c>
    </row>
    <row r="155" spans="1:4" x14ac:dyDescent="0.2">
      <c r="A155" t="str">
        <f t="shared" si="2"/>
        <v/>
      </c>
    </row>
    <row r="156" spans="1:4" x14ac:dyDescent="0.2">
      <c r="A156" t="str">
        <f t="shared" si="2"/>
        <v>NLO15_5</v>
      </c>
      <c r="B156" s="122">
        <v>2</v>
      </c>
      <c r="C156" s="122">
        <v>5</v>
      </c>
      <c r="D156" t="s">
        <v>72</v>
      </c>
    </row>
    <row r="157" spans="1:4" x14ac:dyDescent="0.2">
      <c r="A157" t="str">
        <f t="shared" si="2"/>
        <v>NLO15_10</v>
      </c>
      <c r="B157">
        <v>4</v>
      </c>
      <c r="C157">
        <v>10</v>
      </c>
      <c r="D157" t="s">
        <v>72</v>
      </c>
    </row>
    <row r="158" spans="1:4" x14ac:dyDescent="0.2">
      <c r="A158" t="str">
        <f t="shared" si="2"/>
        <v>NLO15_15</v>
      </c>
      <c r="B158">
        <v>6</v>
      </c>
      <c r="C158">
        <v>15</v>
      </c>
      <c r="D158" t="s">
        <v>72</v>
      </c>
    </row>
    <row r="159" spans="1:4" x14ac:dyDescent="0.2">
      <c r="A159" t="str">
        <f t="shared" si="2"/>
        <v>NLO15_20</v>
      </c>
      <c r="B159">
        <v>8</v>
      </c>
      <c r="C159">
        <v>20</v>
      </c>
      <c r="D159" t="s">
        <v>72</v>
      </c>
    </row>
    <row r="160" spans="1:4" x14ac:dyDescent="0.2">
      <c r="A160" t="str">
        <f t="shared" si="2"/>
        <v>NLO15_25</v>
      </c>
      <c r="B160">
        <v>10</v>
      </c>
      <c r="C160">
        <v>25</v>
      </c>
      <c r="D160" t="s">
        <v>72</v>
      </c>
    </row>
    <row r="161" spans="1:4" x14ac:dyDescent="0.2">
      <c r="A161" t="str">
        <f t="shared" si="2"/>
        <v>NLO15_30</v>
      </c>
      <c r="B161">
        <v>12</v>
      </c>
      <c r="C161">
        <v>30</v>
      </c>
      <c r="D161" t="s">
        <v>72</v>
      </c>
    </row>
    <row r="162" spans="1:4" x14ac:dyDescent="0.2">
      <c r="A162" t="str">
        <f t="shared" si="2"/>
        <v>NLO15_35</v>
      </c>
      <c r="B162">
        <v>14</v>
      </c>
      <c r="C162">
        <v>35</v>
      </c>
      <c r="D162" t="s">
        <v>72</v>
      </c>
    </row>
    <row r="163" spans="1:4" x14ac:dyDescent="0.2">
      <c r="A163" t="str">
        <f t="shared" si="2"/>
        <v>NLO15_40</v>
      </c>
      <c r="B163">
        <v>16</v>
      </c>
      <c r="C163">
        <v>40</v>
      </c>
      <c r="D163" t="s">
        <v>72</v>
      </c>
    </row>
    <row r="164" spans="1:4" x14ac:dyDescent="0.2">
      <c r="A164" t="str">
        <f t="shared" si="2"/>
        <v>NLO15_45</v>
      </c>
      <c r="B164">
        <v>18</v>
      </c>
      <c r="C164">
        <v>45</v>
      </c>
      <c r="D164" t="s">
        <v>72</v>
      </c>
    </row>
    <row r="165" spans="1:4" x14ac:dyDescent="0.2">
      <c r="A165" t="str">
        <f t="shared" si="2"/>
        <v>NLO15_50</v>
      </c>
      <c r="B165">
        <v>20</v>
      </c>
      <c r="C165">
        <v>50</v>
      </c>
      <c r="D165" t="s">
        <v>72</v>
      </c>
    </row>
    <row r="166" spans="1:4" x14ac:dyDescent="0.2">
      <c r="A166" t="str">
        <f t="shared" si="2"/>
        <v/>
      </c>
    </row>
    <row r="167" spans="1:4" x14ac:dyDescent="0.2">
      <c r="A167" t="str">
        <f t="shared" si="2"/>
        <v>NPS15_5</v>
      </c>
      <c r="B167" s="122">
        <v>2</v>
      </c>
      <c r="C167" s="122">
        <v>5</v>
      </c>
      <c r="D167" t="s">
        <v>73</v>
      </c>
    </row>
    <row r="168" spans="1:4" x14ac:dyDescent="0.2">
      <c r="A168" t="str">
        <f t="shared" si="2"/>
        <v>NPS15_10</v>
      </c>
      <c r="B168">
        <v>4</v>
      </c>
      <c r="C168">
        <v>10</v>
      </c>
      <c r="D168" t="s">
        <v>73</v>
      </c>
    </row>
    <row r="169" spans="1:4" x14ac:dyDescent="0.2">
      <c r="A169" t="str">
        <f t="shared" si="2"/>
        <v>NPS15_15</v>
      </c>
      <c r="B169">
        <v>6</v>
      </c>
      <c r="C169">
        <v>15</v>
      </c>
      <c r="D169" t="s">
        <v>73</v>
      </c>
    </row>
    <row r="170" spans="1:4" x14ac:dyDescent="0.2">
      <c r="A170" t="str">
        <f t="shared" si="2"/>
        <v>NPS15_20</v>
      </c>
      <c r="B170">
        <v>8</v>
      </c>
      <c r="C170">
        <v>20</v>
      </c>
      <c r="D170" t="s">
        <v>73</v>
      </c>
    </row>
    <row r="171" spans="1:4" x14ac:dyDescent="0.2">
      <c r="A171" t="str">
        <f t="shared" si="2"/>
        <v>NPS15_25</v>
      </c>
      <c r="B171">
        <v>10</v>
      </c>
      <c r="C171">
        <v>25</v>
      </c>
      <c r="D171" t="s">
        <v>73</v>
      </c>
    </row>
    <row r="172" spans="1:4" x14ac:dyDescent="0.2">
      <c r="A172" t="str">
        <f t="shared" si="2"/>
        <v>NPS15_30</v>
      </c>
      <c r="B172">
        <v>12</v>
      </c>
      <c r="C172">
        <v>30</v>
      </c>
      <c r="D172" t="s">
        <v>73</v>
      </c>
    </row>
    <row r="173" spans="1:4" x14ac:dyDescent="0.2">
      <c r="A173" t="str">
        <f t="shared" si="2"/>
        <v>NPS15_35</v>
      </c>
      <c r="B173">
        <v>14</v>
      </c>
      <c r="C173">
        <v>35</v>
      </c>
      <c r="D173" t="s">
        <v>73</v>
      </c>
    </row>
    <row r="174" spans="1:4" x14ac:dyDescent="0.2">
      <c r="A174" t="str">
        <f t="shared" si="2"/>
        <v>NPS15_40</v>
      </c>
      <c r="B174">
        <v>16</v>
      </c>
      <c r="C174">
        <v>40</v>
      </c>
      <c r="D174" t="s">
        <v>73</v>
      </c>
    </row>
    <row r="175" spans="1:4" x14ac:dyDescent="0.2">
      <c r="A175" t="str">
        <f t="shared" si="2"/>
        <v>NPS15_45</v>
      </c>
      <c r="B175">
        <v>18</v>
      </c>
      <c r="C175">
        <v>45</v>
      </c>
      <c r="D175" t="s">
        <v>73</v>
      </c>
    </row>
    <row r="176" spans="1:4" x14ac:dyDescent="0.2">
      <c r="A176" t="str">
        <f t="shared" si="2"/>
        <v>NPS15_50</v>
      </c>
      <c r="B176">
        <v>20</v>
      </c>
      <c r="C176">
        <v>50</v>
      </c>
      <c r="D176" t="s">
        <v>73</v>
      </c>
    </row>
    <row r="177" spans="1:4" x14ac:dyDescent="0.2">
      <c r="A177" t="str">
        <f t="shared" si="2"/>
        <v/>
      </c>
    </row>
    <row r="178" spans="1:4" x14ac:dyDescent="0.2">
      <c r="A178" t="str">
        <f t="shared" si="2"/>
        <v>NIN12_Typ1_U_5</v>
      </c>
      <c r="B178" s="122">
        <v>2</v>
      </c>
      <c r="C178" s="122">
        <v>5</v>
      </c>
      <c r="D178" t="s">
        <v>75</v>
      </c>
    </row>
    <row r="179" spans="1:4" x14ac:dyDescent="0.2">
      <c r="A179" t="str">
        <f t="shared" si="2"/>
        <v>NIN12_Typ1_U_10</v>
      </c>
      <c r="B179">
        <v>4</v>
      </c>
      <c r="C179">
        <v>10</v>
      </c>
      <c r="D179" t="s">
        <v>75</v>
      </c>
    </row>
    <row r="180" spans="1:4" x14ac:dyDescent="0.2">
      <c r="A180" t="str">
        <f t="shared" si="2"/>
        <v>NIN12_Typ1_U_15</v>
      </c>
      <c r="B180">
        <v>6</v>
      </c>
      <c r="C180">
        <v>15</v>
      </c>
      <c r="D180" t="s">
        <v>75</v>
      </c>
    </row>
    <row r="181" spans="1:4" x14ac:dyDescent="0.2">
      <c r="A181" t="str">
        <f t="shared" si="2"/>
        <v>NIN12_Typ1_U_20</v>
      </c>
      <c r="B181">
        <v>8</v>
      </c>
      <c r="C181">
        <v>20</v>
      </c>
      <c r="D181" t="s">
        <v>75</v>
      </c>
    </row>
    <row r="182" spans="1:4" x14ac:dyDescent="0.2">
      <c r="A182" t="str">
        <f t="shared" si="2"/>
        <v>NIN12_Typ1_U_25</v>
      </c>
      <c r="B182">
        <v>10</v>
      </c>
      <c r="C182">
        <v>25</v>
      </c>
      <c r="D182" t="s">
        <v>75</v>
      </c>
    </row>
    <row r="183" spans="1:4" x14ac:dyDescent="0.2">
      <c r="A183" t="str">
        <f t="shared" si="2"/>
        <v>NIN12_Typ1_U_30</v>
      </c>
      <c r="B183">
        <v>12</v>
      </c>
      <c r="C183">
        <v>30</v>
      </c>
      <c r="D183" t="s">
        <v>75</v>
      </c>
    </row>
    <row r="184" spans="1:4" x14ac:dyDescent="0.2">
      <c r="A184" t="str">
        <f t="shared" si="2"/>
        <v>NIN12_Typ1_U_35</v>
      </c>
      <c r="B184">
        <v>14</v>
      </c>
      <c r="C184">
        <v>35</v>
      </c>
      <c r="D184" t="s">
        <v>75</v>
      </c>
    </row>
    <row r="185" spans="1:4" x14ac:dyDescent="0.2">
      <c r="A185" t="str">
        <f t="shared" si="2"/>
        <v>NIN12_Typ1_U_40</v>
      </c>
      <c r="B185">
        <v>16</v>
      </c>
      <c r="C185">
        <v>40</v>
      </c>
      <c r="D185" t="s">
        <v>75</v>
      </c>
    </row>
    <row r="186" spans="1:4" x14ac:dyDescent="0.2">
      <c r="A186" t="str">
        <f t="shared" si="2"/>
        <v>NIN12_Typ1_U_45</v>
      </c>
      <c r="B186">
        <v>18</v>
      </c>
      <c r="C186">
        <v>45</v>
      </c>
      <c r="D186" t="s">
        <v>75</v>
      </c>
    </row>
    <row r="187" spans="1:4" x14ac:dyDescent="0.2">
      <c r="A187" t="str">
        <f t="shared" si="2"/>
        <v>NIN12_Typ1_U_50</v>
      </c>
      <c r="B187">
        <v>20</v>
      </c>
      <c r="C187">
        <v>50</v>
      </c>
      <c r="D187" t="s">
        <v>75</v>
      </c>
    </row>
    <row r="188" spans="1:4" x14ac:dyDescent="0.2">
      <c r="A188" t="str">
        <f t="shared" si="2"/>
        <v/>
      </c>
    </row>
    <row r="189" spans="1:4" x14ac:dyDescent="0.2">
      <c r="A189" t="str">
        <f t="shared" si="2"/>
        <v>NIN12_Typ2_U_5</v>
      </c>
      <c r="B189" s="122">
        <v>2</v>
      </c>
      <c r="C189" s="122">
        <v>5</v>
      </c>
      <c r="D189" t="s">
        <v>77</v>
      </c>
    </row>
    <row r="190" spans="1:4" x14ac:dyDescent="0.2">
      <c r="A190" t="str">
        <f t="shared" si="2"/>
        <v>NIN12_Typ2_U_10</v>
      </c>
      <c r="B190">
        <v>4</v>
      </c>
      <c r="C190">
        <v>10</v>
      </c>
      <c r="D190" t="s">
        <v>77</v>
      </c>
    </row>
    <row r="191" spans="1:4" x14ac:dyDescent="0.2">
      <c r="A191" t="str">
        <f t="shared" si="2"/>
        <v>NIN12_Typ2_U_15</v>
      </c>
      <c r="B191">
        <v>6</v>
      </c>
      <c r="C191">
        <v>15</v>
      </c>
      <c r="D191" t="s">
        <v>77</v>
      </c>
    </row>
    <row r="192" spans="1:4" x14ac:dyDescent="0.2">
      <c r="A192" t="str">
        <f t="shared" si="2"/>
        <v>NIN12_Typ2_U_20</v>
      </c>
      <c r="B192">
        <v>8</v>
      </c>
      <c r="C192">
        <v>20</v>
      </c>
      <c r="D192" t="s">
        <v>77</v>
      </c>
    </row>
    <row r="193" spans="1:4" x14ac:dyDescent="0.2">
      <c r="A193" t="str">
        <f t="shared" si="2"/>
        <v>NIN12_Typ2_U_25</v>
      </c>
      <c r="B193">
        <v>10</v>
      </c>
      <c r="C193">
        <v>25</v>
      </c>
      <c r="D193" t="s">
        <v>77</v>
      </c>
    </row>
    <row r="194" spans="1:4" x14ac:dyDescent="0.2">
      <c r="A194" t="str">
        <f t="shared" si="2"/>
        <v>NIN12_Typ2_U_30</v>
      </c>
      <c r="B194">
        <v>12</v>
      </c>
      <c r="C194">
        <v>30</v>
      </c>
      <c r="D194" t="s">
        <v>77</v>
      </c>
    </row>
    <row r="195" spans="1:4" x14ac:dyDescent="0.2">
      <c r="A195" t="str">
        <f t="shared" ref="A195:A269" si="3">IF(D195="","",CONCATENATE(D195,"_",C195))</f>
        <v>NIN12_Typ2_U_35</v>
      </c>
      <c r="B195">
        <v>14</v>
      </c>
      <c r="C195">
        <v>35</v>
      </c>
      <c r="D195" t="s">
        <v>77</v>
      </c>
    </row>
    <row r="196" spans="1:4" x14ac:dyDescent="0.2">
      <c r="A196" t="str">
        <f t="shared" si="3"/>
        <v>NIN12_Typ2_U_40</v>
      </c>
      <c r="B196">
        <v>16</v>
      </c>
      <c r="C196">
        <v>40</v>
      </c>
      <c r="D196" t="s">
        <v>77</v>
      </c>
    </row>
    <row r="197" spans="1:4" x14ac:dyDescent="0.2">
      <c r="A197" t="str">
        <f t="shared" si="3"/>
        <v>NIN12_Typ2_U_45</v>
      </c>
      <c r="B197">
        <v>18</v>
      </c>
      <c r="C197">
        <v>45</v>
      </c>
      <c r="D197" t="s">
        <v>77</v>
      </c>
    </row>
    <row r="198" spans="1:4" x14ac:dyDescent="0.2">
      <c r="A198" t="str">
        <f t="shared" si="3"/>
        <v>NIN12_Typ2_U_50</v>
      </c>
      <c r="B198">
        <v>20</v>
      </c>
      <c r="C198">
        <v>50</v>
      </c>
      <c r="D198" t="s">
        <v>77</v>
      </c>
    </row>
    <row r="199" spans="1:4" x14ac:dyDescent="0.2">
      <c r="A199" t="str">
        <f t="shared" si="3"/>
        <v/>
      </c>
    </row>
    <row r="200" spans="1:4" x14ac:dyDescent="0.2">
      <c r="A200" t="str">
        <f t="shared" si="3"/>
        <v>NHO12_U_5</v>
      </c>
      <c r="B200" s="122">
        <v>2</v>
      </c>
      <c r="C200" s="122">
        <v>5</v>
      </c>
      <c r="D200" t="s">
        <v>91</v>
      </c>
    </row>
    <row r="201" spans="1:4" x14ac:dyDescent="0.2">
      <c r="A201" t="str">
        <f t="shared" si="3"/>
        <v>NHO12_U_10</v>
      </c>
      <c r="B201">
        <v>4</v>
      </c>
      <c r="C201">
        <v>10</v>
      </c>
      <c r="D201" t="s">
        <v>91</v>
      </c>
    </row>
    <row r="202" spans="1:4" x14ac:dyDescent="0.2">
      <c r="A202" t="str">
        <f t="shared" si="3"/>
        <v>NHO12_U_15</v>
      </c>
      <c r="B202">
        <v>6</v>
      </c>
      <c r="C202">
        <v>15</v>
      </c>
      <c r="D202" t="s">
        <v>91</v>
      </c>
    </row>
    <row r="203" spans="1:4" x14ac:dyDescent="0.2">
      <c r="A203" t="str">
        <f t="shared" si="3"/>
        <v>NHO12_U_20</v>
      </c>
      <c r="B203">
        <v>8</v>
      </c>
      <c r="C203">
        <v>20</v>
      </c>
      <c r="D203" t="s">
        <v>91</v>
      </c>
    </row>
    <row r="204" spans="1:4" x14ac:dyDescent="0.2">
      <c r="A204" t="str">
        <f t="shared" si="3"/>
        <v>NHO12_U_25</v>
      </c>
      <c r="B204">
        <v>10</v>
      </c>
      <c r="C204">
        <v>25</v>
      </c>
      <c r="D204" t="s">
        <v>91</v>
      </c>
    </row>
    <row r="205" spans="1:4" x14ac:dyDescent="0.2">
      <c r="A205" t="str">
        <f t="shared" si="3"/>
        <v>NHO12_U_30</v>
      </c>
      <c r="B205">
        <v>12</v>
      </c>
      <c r="C205">
        <v>30</v>
      </c>
      <c r="D205" t="s">
        <v>91</v>
      </c>
    </row>
    <row r="206" spans="1:4" x14ac:dyDescent="0.2">
      <c r="A206" t="str">
        <f t="shared" si="3"/>
        <v>NHO12_U_35</v>
      </c>
      <c r="B206">
        <v>14</v>
      </c>
      <c r="C206">
        <v>35</v>
      </c>
      <c r="D206" t="s">
        <v>91</v>
      </c>
    </row>
    <row r="207" spans="1:4" x14ac:dyDescent="0.2">
      <c r="A207" t="str">
        <f t="shared" si="3"/>
        <v>NHO12_U_40</v>
      </c>
      <c r="B207">
        <v>16</v>
      </c>
      <c r="C207">
        <v>40</v>
      </c>
      <c r="D207" t="s">
        <v>91</v>
      </c>
    </row>
    <row r="208" spans="1:4" x14ac:dyDescent="0.2">
      <c r="A208" t="str">
        <f t="shared" si="3"/>
        <v>NHO12_U_45</v>
      </c>
      <c r="B208">
        <v>18</v>
      </c>
      <c r="C208">
        <v>45</v>
      </c>
      <c r="D208" t="s">
        <v>91</v>
      </c>
    </row>
    <row r="209" spans="1:4" x14ac:dyDescent="0.2">
      <c r="A209" t="str">
        <f t="shared" si="3"/>
        <v>NHO12_U_50</v>
      </c>
      <c r="B209">
        <v>20</v>
      </c>
      <c r="C209">
        <v>50</v>
      </c>
      <c r="D209" t="s">
        <v>91</v>
      </c>
    </row>
    <row r="210" spans="1:4" x14ac:dyDescent="0.2">
      <c r="A210" t="str">
        <f t="shared" si="3"/>
        <v/>
      </c>
    </row>
    <row r="211" spans="1:4" x14ac:dyDescent="0.2">
      <c r="A211" t="str">
        <f t="shared" si="3"/>
        <v>NHO15_5</v>
      </c>
      <c r="B211" s="122">
        <v>2</v>
      </c>
      <c r="C211" s="122">
        <v>5</v>
      </c>
      <c r="D211" t="s">
        <v>92</v>
      </c>
    </row>
    <row r="212" spans="1:4" x14ac:dyDescent="0.2">
      <c r="A212" t="str">
        <f t="shared" si="3"/>
        <v>NHO15_10</v>
      </c>
      <c r="B212">
        <v>4</v>
      </c>
      <c r="C212">
        <v>10</v>
      </c>
      <c r="D212" t="s">
        <v>92</v>
      </c>
    </row>
    <row r="213" spans="1:4" x14ac:dyDescent="0.2">
      <c r="A213" t="str">
        <f t="shared" si="3"/>
        <v>NHO15_15</v>
      </c>
      <c r="B213">
        <v>6</v>
      </c>
      <c r="C213">
        <v>15</v>
      </c>
      <c r="D213" t="s">
        <v>92</v>
      </c>
    </row>
    <row r="214" spans="1:4" x14ac:dyDescent="0.2">
      <c r="A214" t="str">
        <f t="shared" si="3"/>
        <v>NHO15_20</v>
      </c>
      <c r="B214">
        <v>8</v>
      </c>
      <c r="C214">
        <v>20</v>
      </c>
      <c r="D214" t="s">
        <v>92</v>
      </c>
    </row>
    <row r="215" spans="1:4" x14ac:dyDescent="0.2">
      <c r="A215" t="str">
        <f t="shared" si="3"/>
        <v>NHO15_25</v>
      </c>
      <c r="B215">
        <v>10</v>
      </c>
      <c r="C215">
        <v>25</v>
      </c>
      <c r="D215" t="s">
        <v>92</v>
      </c>
    </row>
    <row r="216" spans="1:4" x14ac:dyDescent="0.2">
      <c r="A216" t="str">
        <f t="shared" si="3"/>
        <v>NHO15_30</v>
      </c>
      <c r="B216">
        <v>12</v>
      </c>
      <c r="C216">
        <v>30</v>
      </c>
      <c r="D216" t="s">
        <v>92</v>
      </c>
    </row>
    <row r="217" spans="1:4" x14ac:dyDescent="0.2">
      <c r="A217" t="str">
        <f t="shared" si="3"/>
        <v>NHO15_35</v>
      </c>
      <c r="B217">
        <v>14</v>
      </c>
      <c r="C217">
        <v>35</v>
      </c>
      <c r="D217" t="s">
        <v>92</v>
      </c>
    </row>
    <row r="218" spans="1:4" x14ac:dyDescent="0.2">
      <c r="A218" t="str">
        <f t="shared" si="3"/>
        <v>NHO15_40</v>
      </c>
      <c r="B218">
        <v>16</v>
      </c>
      <c r="C218">
        <v>40</v>
      </c>
      <c r="D218" t="s">
        <v>92</v>
      </c>
    </row>
    <row r="219" spans="1:4" x14ac:dyDescent="0.2">
      <c r="A219" t="str">
        <f t="shared" si="3"/>
        <v>NHO15_45</v>
      </c>
      <c r="B219">
        <v>18</v>
      </c>
      <c r="C219">
        <v>45</v>
      </c>
      <c r="D219" t="s">
        <v>92</v>
      </c>
    </row>
    <row r="220" spans="1:4" x14ac:dyDescent="0.2">
      <c r="A220" t="str">
        <f t="shared" si="3"/>
        <v>NHO15_50</v>
      </c>
      <c r="B220">
        <v>20</v>
      </c>
      <c r="C220">
        <v>50</v>
      </c>
      <c r="D220" t="s">
        <v>92</v>
      </c>
    </row>
    <row r="221" spans="1:4" x14ac:dyDescent="0.2">
      <c r="A221" t="str">
        <f t="shared" si="3"/>
        <v/>
      </c>
    </row>
    <row r="222" spans="1:4" x14ac:dyDescent="0.2">
      <c r="A222" t="str">
        <f t="shared" si="3"/>
        <v>NGB13_5</v>
      </c>
      <c r="B222" s="122">
        <v>2</v>
      </c>
      <c r="C222" s="122">
        <v>5</v>
      </c>
      <c r="D222" t="s">
        <v>93</v>
      </c>
    </row>
    <row r="223" spans="1:4" x14ac:dyDescent="0.2">
      <c r="A223" t="str">
        <f t="shared" si="3"/>
        <v>NGB13_10</v>
      </c>
      <c r="B223">
        <v>4</v>
      </c>
      <c r="C223">
        <v>10</v>
      </c>
      <c r="D223" t="s">
        <v>93</v>
      </c>
    </row>
    <row r="224" spans="1:4" x14ac:dyDescent="0.2">
      <c r="A224" t="str">
        <f t="shared" si="3"/>
        <v>NGB13_15</v>
      </c>
      <c r="B224">
        <v>6</v>
      </c>
      <c r="C224">
        <v>15</v>
      </c>
      <c r="D224" t="s">
        <v>93</v>
      </c>
    </row>
    <row r="225" spans="1:4" x14ac:dyDescent="0.2">
      <c r="A225" t="str">
        <f t="shared" si="3"/>
        <v>NGB13_20</v>
      </c>
      <c r="B225">
        <v>8</v>
      </c>
      <c r="C225">
        <v>20</v>
      </c>
      <c r="D225" t="s">
        <v>93</v>
      </c>
    </row>
    <row r="226" spans="1:4" x14ac:dyDescent="0.2">
      <c r="A226" t="str">
        <f t="shared" si="3"/>
        <v>NGB13_25</v>
      </c>
      <c r="B226">
        <v>10</v>
      </c>
      <c r="C226">
        <v>25</v>
      </c>
      <c r="D226" t="s">
        <v>93</v>
      </c>
    </row>
    <row r="227" spans="1:4" x14ac:dyDescent="0.2">
      <c r="A227" t="str">
        <f t="shared" si="3"/>
        <v>NGB13_30</v>
      </c>
      <c r="B227">
        <v>12</v>
      </c>
      <c r="C227">
        <v>30</v>
      </c>
      <c r="D227" t="s">
        <v>93</v>
      </c>
    </row>
    <row r="228" spans="1:4" x14ac:dyDescent="0.2">
      <c r="A228" t="str">
        <f t="shared" si="3"/>
        <v>NGB13_35</v>
      </c>
      <c r="B228">
        <v>14</v>
      </c>
      <c r="C228">
        <v>35</v>
      </c>
      <c r="D228" t="s">
        <v>93</v>
      </c>
    </row>
    <row r="229" spans="1:4" x14ac:dyDescent="0.2">
      <c r="A229" t="str">
        <f t="shared" si="3"/>
        <v>NGB13_40</v>
      </c>
      <c r="B229">
        <v>16</v>
      </c>
      <c r="C229">
        <v>40</v>
      </c>
      <c r="D229" t="s">
        <v>93</v>
      </c>
    </row>
    <row r="230" spans="1:4" x14ac:dyDescent="0.2">
      <c r="A230" t="str">
        <f t="shared" si="3"/>
        <v>NGB13_45</v>
      </c>
      <c r="B230">
        <v>18</v>
      </c>
      <c r="C230">
        <v>45</v>
      </c>
      <c r="D230" t="s">
        <v>93</v>
      </c>
    </row>
    <row r="231" spans="1:4" x14ac:dyDescent="0.2">
      <c r="A231" t="str">
        <f t="shared" si="3"/>
        <v>NGB13_50</v>
      </c>
      <c r="B231">
        <v>20</v>
      </c>
      <c r="C231">
        <v>50</v>
      </c>
      <c r="D231" t="s">
        <v>93</v>
      </c>
    </row>
    <row r="232" spans="1:4" x14ac:dyDescent="0.2">
      <c r="A232" t="str">
        <f t="shared" si="3"/>
        <v/>
      </c>
    </row>
    <row r="233" spans="1:4" x14ac:dyDescent="0.2">
      <c r="A233" t="str">
        <f t="shared" si="3"/>
        <v>NBV18_0</v>
      </c>
      <c r="B233">
        <v>5</v>
      </c>
      <c r="C233">
        <v>0</v>
      </c>
      <c r="D233" t="s">
        <v>94</v>
      </c>
    </row>
    <row r="234" spans="1:4" x14ac:dyDescent="0.2">
      <c r="A234" t="str">
        <f t="shared" si="3"/>
        <v>NBV18_30</v>
      </c>
      <c r="B234">
        <v>12.5</v>
      </c>
      <c r="C234">
        <v>30</v>
      </c>
      <c r="D234" t="s">
        <v>94</v>
      </c>
    </row>
    <row r="235" spans="1:4" x14ac:dyDescent="0.2">
      <c r="A235" t="str">
        <f t="shared" si="3"/>
        <v>NBV18_40</v>
      </c>
      <c r="B235">
        <v>15</v>
      </c>
      <c r="C235">
        <v>40</v>
      </c>
      <c r="D235" t="s">
        <v>94</v>
      </c>
    </row>
    <row r="236" spans="1:4" x14ac:dyDescent="0.2">
      <c r="A236" t="str">
        <f t="shared" si="3"/>
        <v>NBV18_60</v>
      </c>
      <c r="B236">
        <v>22.5</v>
      </c>
      <c r="C236">
        <v>60</v>
      </c>
      <c r="D236" t="s">
        <v>94</v>
      </c>
    </row>
    <row r="237" spans="1:4" x14ac:dyDescent="0.2">
      <c r="A237" t="str">
        <f t="shared" si="3"/>
        <v>NBV18_80</v>
      </c>
      <c r="B237">
        <v>30</v>
      </c>
      <c r="C237">
        <v>80</v>
      </c>
      <c r="D237" t="s">
        <v>94</v>
      </c>
    </row>
    <row r="238" spans="1:4" x14ac:dyDescent="0.2">
      <c r="A238" t="str">
        <f t="shared" si="3"/>
        <v>NBV18_100</v>
      </c>
      <c r="B238">
        <v>37.5</v>
      </c>
      <c r="C238">
        <v>100</v>
      </c>
      <c r="D238" t="s">
        <v>94</v>
      </c>
    </row>
    <row r="239" spans="1:4" x14ac:dyDescent="0.2">
      <c r="A239" t="str">
        <f t="shared" si="3"/>
        <v/>
      </c>
    </row>
    <row r="240" spans="1:4" x14ac:dyDescent="0.2">
      <c r="A240" t="str">
        <f t="shared" si="3"/>
        <v>NBI18_0</v>
      </c>
      <c r="B240">
        <v>5</v>
      </c>
      <c r="C240">
        <v>0</v>
      </c>
      <c r="D240" t="s">
        <v>95</v>
      </c>
    </row>
    <row r="241" spans="1:4" x14ac:dyDescent="0.2">
      <c r="A241" t="str">
        <f t="shared" si="3"/>
        <v>NBI18_30</v>
      </c>
      <c r="B241">
        <v>12.5</v>
      </c>
      <c r="C241">
        <v>30</v>
      </c>
      <c r="D241" t="s">
        <v>95</v>
      </c>
    </row>
    <row r="242" spans="1:4" x14ac:dyDescent="0.2">
      <c r="A242" t="str">
        <f t="shared" si="3"/>
        <v>NBI18_40</v>
      </c>
      <c r="B242">
        <v>15</v>
      </c>
      <c r="C242">
        <v>40</v>
      </c>
      <c r="D242" t="s">
        <v>95</v>
      </c>
    </row>
    <row r="243" spans="1:4" x14ac:dyDescent="0.2">
      <c r="A243" t="str">
        <f t="shared" si="3"/>
        <v>NBI18_60</v>
      </c>
      <c r="B243">
        <v>22.5</v>
      </c>
      <c r="C243">
        <v>60</v>
      </c>
      <c r="D243" t="s">
        <v>95</v>
      </c>
    </row>
    <row r="244" spans="1:4" x14ac:dyDescent="0.2">
      <c r="A244" t="str">
        <f t="shared" si="3"/>
        <v>NBI18_80</v>
      </c>
      <c r="B244">
        <v>30</v>
      </c>
      <c r="C244">
        <v>80</v>
      </c>
      <c r="D244" t="s">
        <v>95</v>
      </c>
    </row>
    <row r="245" spans="1:4" x14ac:dyDescent="0.2">
      <c r="A245" t="str">
        <f t="shared" si="3"/>
        <v>NBI18_100</v>
      </c>
      <c r="B245">
        <v>37.5</v>
      </c>
      <c r="C245">
        <v>100</v>
      </c>
      <c r="D245" t="s">
        <v>95</v>
      </c>
    </row>
    <row r="246" spans="1:4" x14ac:dyDescent="0.2">
      <c r="A246" t="str">
        <f t="shared" si="3"/>
        <v/>
      </c>
    </row>
    <row r="247" spans="1:4" x14ac:dyDescent="0.2">
      <c r="A247" t="str">
        <f t="shared" si="3"/>
        <v>NWO18_0</v>
      </c>
      <c r="B247">
        <v>5</v>
      </c>
      <c r="C247">
        <v>0</v>
      </c>
      <c r="D247" t="s">
        <v>96</v>
      </c>
    </row>
    <row r="248" spans="1:4" x14ac:dyDescent="0.2">
      <c r="A248" t="str">
        <f t="shared" si="3"/>
        <v>NWO18_30</v>
      </c>
      <c r="B248">
        <v>12.5</v>
      </c>
      <c r="C248">
        <v>30</v>
      </c>
      <c r="D248" t="s">
        <v>96</v>
      </c>
    </row>
    <row r="249" spans="1:4" x14ac:dyDescent="0.2">
      <c r="A249" t="str">
        <f t="shared" si="3"/>
        <v>NWO18_40</v>
      </c>
      <c r="B249">
        <v>15</v>
      </c>
      <c r="C249">
        <v>40</v>
      </c>
      <c r="D249" t="s">
        <v>96</v>
      </c>
    </row>
    <row r="250" spans="1:4" x14ac:dyDescent="0.2">
      <c r="A250" t="str">
        <f t="shared" si="3"/>
        <v>NWO18_60</v>
      </c>
      <c r="B250">
        <v>22.5</v>
      </c>
      <c r="C250">
        <v>60</v>
      </c>
      <c r="D250" t="s">
        <v>96</v>
      </c>
    </row>
    <row r="251" spans="1:4" x14ac:dyDescent="0.2">
      <c r="A251" t="str">
        <f t="shared" si="3"/>
        <v>NWO18_80</v>
      </c>
      <c r="B251">
        <v>30</v>
      </c>
      <c r="C251">
        <v>80</v>
      </c>
      <c r="D251" t="s">
        <v>96</v>
      </c>
    </row>
    <row r="252" spans="1:4" x14ac:dyDescent="0.2">
      <c r="A252" t="str">
        <f t="shared" si="3"/>
        <v>NWO18_100</v>
      </c>
      <c r="B252">
        <v>37.5</v>
      </c>
      <c r="C252">
        <v>100</v>
      </c>
      <c r="D252" t="s">
        <v>96</v>
      </c>
    </row>
    <row r="253" spans="1:4" x14ac:dyDescent="0.2">
      <c r="A253" t="str">
        <f t="shared" si="3"/>
        <v/>
      </c>
    </row>
    <row r="254" spans="1:4" x14ac:dyDescent="0.2">
      <c r="A254" t="str">
        <f t="shared" si="3"/>
        <v>NHO18_0</v>
      </c>
      <c r="B254">
        <v>5</v>
      </c>
      <c r="C254">
        <v>0</v>
      </c>
      <c r="D254" t="s">
        <v>97</v>
      </c>
    </row>
    <row r="255" spans="1:4" x14ac:dyDescent="0.2">
      <c r="A255" t="str">
        <f t="shared" si="3"/>
        <v>NHO18_30</v>
      </c>
      <c r="B255">
        <v>12.5</v>
      </c>
      <c r="C255">
        <v>30</v>
      </c>
      <c r="D255" t="s">
        <v>97</v>
      </c>
    </row>
    <row r="256" spans="1:4" x14ac:dyDescent="0.2">
      <c r="A256" t="str">
        <f t="shared" si="3"/>
        <v>NHO18_40</v>
      </c>
      <c r="B256">
        <v>15</v>
      </c>
      <c r="C256">
        <v>40</v>
      </c>
      <c r="D256" t="s">
        <v>97</v>
      </c>
    </row>
    <row r="257" spans="1:4" x14ac:dyDescent="0.2">
      <c r="A257" t="str">
        <f t="shared" si="3"/>
        <v>NHO18_60</v>
      </c>
      <c r="B257">
        <v>22.5</v>
      </c>
      <c r="C257">
        <v>60</v>
      </c>
      <c r="D257" t="s">
        <v>97</v>
      </c>
    </row>
    <row r="258" spans="1:4" x14ac:dyDescent="0.2">
      <c r="A258" t="str">
        <f t="shared" si="3"/>
        <v>NHO18_80</v>
      </c>
      <c r="B258">
        <v>30</v>
      </c>
      <c r="C258">
        <v>80</v>
      </c>
      <c r="D258" t="s">
        <v>97</v>
      </c>
    </row>
    <row r="259" spans="1:4" x14ac:dyDescent="0.2">
      <c r="A259" t="str">
        <f t="shared" si="3"/>
        <v>NHO18_100</v>
      </c>
      <c r="B259">
        <v>37.5</v>
      </c>
      <c r="C259">
        <v>100</v>
      </c>
      <c r="D259" t="s">
        <v>97</v>
      </c>
    </row>
    <row r="260" spans="1:4" x14ac:dyDescent="0.2">
      <c r="A260" t="str">
        <f t="shared" si="3"/>
        <v/>
      </c>
    </row>
    <row r="261" spans="1:4" x14ac:dyDescent="0.2">
      <c r="A261" t="str">
        <f t="shared" si="3"/>
        <v>NVM18_0</v>
      </c>
      <c r="B261">
        <v>5</v>
      </c>
      <c r="C261">
        <v>0</v>
      </c>
      <c r="D261" t="s">
        <v>98</v>
      </c>
    </row>
    <row r="262" spans="1:4" x14ac:dyDescent="0.2">
      <c r="A262" t="str">
        <f t="shared" si="3"/>
        <v>NVM18_30</v>
      </c>
      <c r="B262">
        <v>12.5</v>
      </c>
      <c r="C262">
        <v>30</v>
      </c>
      <c r="D262" t="s">
        <v>98</v>
      </c>
    </row>
    <row r="263" spans="1:4" x14ac:dyDescent="0.2">
      <c r="A263" t="str">
        <f t="shared" si="3"/>
        <v>NVM18_40</v>
      </c>
      <c r="B263">
        <v>15</v>
      </c>
      <c r="C263">
        <v>40</v>
      </c>
      <c r="D263" t="s">
        <v>98</v>
      </c>
    </row>
    <row r="264" spans="1:4" x14ac:dyDescent="0.2">
      <c r="A264" t="str">
        <f t="shared" si="3"/>
        <v>NVM18_60</v>
      </c>
      <c r="B264">
        <v>22.5</v>
      </c>
      <c r="C264">
        <v>60</v>
      </c>
      <c r="D264" t="s">
        <v>98</v>
      </c>
    </row>
    <row r="265" spans="1:4" x14ac:dyDescent="0.2">
      <c r="A265" t="str">
        <f t="shared" si="3"/>
        <v>NVM18_80</v>
      </c>
      <c r="B265">
        <v>30</v>
      </c>
      <c r="C265">
        <v>80</v>
      </c>
      <c r="D265" t="s">
        <v>98</v>
      </c>
    </row>
    <row r="266" spans="1:4" x14ac:dyDescent="0.2">
      <c r="A266" t="str">
        <f t="shared" si="3"/>
        <v>NVM18_100</v>
      </c>
      <c r="B266">
        <v>37.5</v>
      </c>
      <c r="C266">
        <v>100</v>
      </c>
      <c r="D266" t="s">
        <v>98</v>
      </c>
    </row>
    <row r="267" spans="1:4" x14ac:dyDescent="0.2">
      <c r="A267" t="str">
        <f t="shared" si="3"/>
        <v/>
      </c>
    </row>
    <row r="268" spans="1:4" x14ac:dyDescent="0.2">
      <c r="A268" t="str">
        <f t="shared" si="3"/>
        <v>NSC18_0</v>
      </c>
      <c r="B268">
        <v>5</v>
      </c>
      <c r="C268">
        <v>0</v>
      </c>
      <c r="D268" t="s">
        <v>99</v>
      </c>
    </row>
    <row r="269" spans="1:4" x14ac:dyDescent="0.2">
      <c r="A269" t="str">
        <f t="shared" si="3"/>
        <v>NSC18_30</v>
      </c>
      <c r="B269">
        <v>12.5</v>
      </c>
      <c r="C269">
        <v>30</v>
      </c>
      <c r="D269" t="s">
        <v>99</v>
      </c>
    </row>
    <row r="270" spans="1:4" x14ac:dyDescent="0.2">
      <c r="A270" t="str">
        <f t="shared" ref="A270:A348" si="4">IF(D270="","",CONCATENATE(D270,"_",C270))</f>
        <v>NSC18_40</v>
      </c>
      <c r="B270">
        <v>15</v>
      </c>
      <c r="C270">
        <v>40</v>
      </c>
      <c r="D270" t="s">
        <v>99</v>
      </c>
    </row>
    <row r="271" spans="1:4" x14ac:dyDescent="0.2">
      <c r="A271" t="str">
        <f t="shared" si="4"/>
        <v>NSC18_60</v>
      </c>
      <c r="B271">
        <v>22.5</v>
      </c>
      <c r="C271">
        <v>60</v>
      </c>
      <c r="D271" t="s">
        <v>99</v>
      </c>
    </row>
    <row r="272" spans="1:4" x14ac:dyDescent="0.2">
      <c r="A272" t="str">
        <f t="shared" si="4"/>
        <v>NSC18_80</v>
      </c>
      <c r="B272">
        <v>30</v>
      </c>
      <c r="C272">
        <v>80</v>
      </c>
      <c r="D272" t="s">
        <v>99</v>
      </c>
    </row>
    <row r="273" spans="1:4" x14ac:dyDescent="0.2">
      <c r="A273" t="str">
        <f t="shared" si="4"/>
        <v>NSC18_100</v>
      </c>
      <c r="B273">
        <v>37.5</v>
      </c>
      <c r="C273">
        <v>100</v>
      </c>
      <c r="D273" t="s">
        <v>99</v>
      </c>
    </row>
    <row r="274" spans="1:4" x14ac:dyDescent="0.2">
      <c r="A274" t="str">
        <f t="shared" si="4"/>
        <v/>
      </c>
    </row>
    <row r="275" spans="1:4" x14ac:dyDescent="0.2">
      <c r="A275" t="str">
        <f t="shared" si="4"/>
        <v>NGH18_0</v>
      </c>
      <c r="B275">
        <v>5</v>
      </c>
      <c r="C275">
        <v>0</v>
      </c>
      <c r="D275" t="s">
        <v>100</v>
      </c>
    </row>
    <row r="276" spans="1:4" x14ac:dyDescent="0.2">
      <c r="A276" t="str">
        <f t="shared" si="4"/>
        <v>NGH18_30</v>
      </c>
      <c r="B276">
        <v>12.5</v>
      </c>
      <c r="C276">
        <v>30</v>
      </c>
      <c r="D276" t="s">
        <v>100</v>
      </c>
    </row>
    <row r="277" spans="1:4" x14ac:dyDescent="0.2">
      <c r="A277" t="str">
        <f t="shared" si="4"/>
        <v>NGH18_40</v>
      </c>
      <c r="B277">
        <v>15</v>
      </c>
      <c r="C277">
        <v>40</v>
      </c>
      <c r="D277" t="s">
        <v>100</v>
      </c>
    </row>
    <row r="278" spans="1:4" x14ac:dyDescent="0.2">
      <c r="A278" t="str">
        <f t="shared" si="4"/>
        <v>NGH18_60</v>
      </c>
      <c r="B278">
        <v>22.5</v>
      </c>
      <c r="C278">
        <v>60</v>
      </c>
      <c r="D278" t="s">
        <v>100</v>
      </c>
    </row>
    <row r="279" spans="1:4" x14ac:dyDescent="0.2">
      <c r="A279" t="str">
        <f t="shared" si="4"/>
        <v>NGH18_80</v>
      </c>
      <c r="B279">
        <v>30</v>
      </c>
      <c r="C279">
        <v>80</v>
      </c>
      <c r="D279" t="s">
        <v>100</v>
      </c>
    </row>
    <row r="280" spans="1:4" x14ac:dyDescent="0.2">
      <c r="A280" t="str">
        <f t="shared" si="4"/>
        <v>NGH18_100</v>
      </c>
      <c r="B280">
        <v>37.5</v>
      </c>
      <c r="C280">
        <v>100</v>
      </c>
      <c r="D280" t="s">
        <v>100</v>
      </c>
    </row>
    <row r="281" spans="1:4" x14ac:dyDescent="0.2">
      <c r="A281" t="str">
        <f t="shared" si="4"/>
        <v/>
      </c>
    </row>
    <row r="282" spans="1:4" x14ac:dyDescent="0.2">
      <c r="A282" t="str">
        <f t="shared" si="4"/>
        <v>NLO18_0</v>
      </c>
      <c r="B282">
        <v>5</v>
      </c>
      <c r="C282">
        <v>0</v>
      </c>
      <c r="D282" t="s">
        <v>79</v>
      </c>
    </row>
    <row r="283" spans="1:4" x14ac:dyDescent="0.2">
      <c r="A283" t="str">
        <f t="shared" si="4"/>
        <v>NLO18_30</v>
      </c>
      <c r="B283">
        <v>12.5</v>
      </c>
      <c r="C283">
        <v>30</v>
      </c>
      <c r="D283" t="s">
        <v>79</v>
      </c>
    </row>
    <row r="284" spans="1:4" x14ac:dyDescent="0.2">
      <c r="A284" t="str">
        <f t="shared" si="4"/>
        <v>NLO18_40</v>
      </c>
      <c r="B284">
        <v>15</v>
      </c>
      <c r="C284">
        <v>40</v>
      </c>
      <c r="D284" t="s">
        <v>79</v>
      </c>
    </row>
    <row r="285" spans="1:4" x14ac:dyDescent="0.2">
      <c r="A285" t="str">
        <f t="shared" si="4"/>
        <v>NLO18_60</v>
      </c>
      <c r="B285">
        <v>22.5</v>
      </c>
      <c r="C285">
        <v>60</v>
      </c>
      <c r="D285" t="s">
        <v>79</v>
      </c>
    </row>
    <row r="286" spans="1:4" x14ac:dyDescent="0.2">
      <c r="A286" t="str">
        <f t="shared" si="4"/>
        <v>NLO18_80</v>
      </c>
      <c r="B286">
        <v>30</v>
      </c>
      <c r="C286">
        <v>80</v>
      </c>
      <c r="D286" t="s">
        <v>79</v>
      </c>
    </row>
    <row r="287" spans="1:4" x14ac:dyDescent="0.2">
      <c r="A287" t="str">
        <f t="shared" si="4"/>
        <v>NLO18_100</v>
      </c>
      <c r="B287">
        <v>37.5</v>
      </c>
      <c r="C287">
        <v>100</v>
      </c>
      <c r="D287" t="s">
        <v>79</v>
      </c>
    </row>
    <row r="288" spans="1:4" x14ac:dyDescent="0.2">
      <c r="A288" t="str">
        <f t="shared" si="4"/>
        <v/>
      </c>
    </row>
    <row r="289" spans="1:4" x14ac:dyDescent="0.2">
      <c r="A289" t="str">
        <f t="shared" si="4"/>
        <v>NPS18_0</v>
      </c>
      <c r="B289">
        <v>5</v>
      </c>
      <c r="C289">
        <v>0</v>
      </c>
      <c r="D289" t="s">
        <v>81</v>
      </c>
    </row>
    <row r="290" spans="1:4" x14ac:dyDescent="0.2">
      <c r="A290" t="str">
        <f t="shared" si="4"/>
        <v>NPS18_30</v>
      </c>
      <c r="B290">
        <v>12.5</v>
      </c>
      <c r="C290">
        <v>30</v>
      </c>
      <c r="D290" t="s">
        <v>81</v>
      </c>
    </row>
    <row r="291" spans="1:4" x14ac:dyDescent="0.2">
      <c r="A291" t="str">
        <f t="shared" si="4"/>
        <v>NPS18_40</v>
      </c>
      <c r="B291">
        <v>15</v>
      </c>
      <c r="C291">
        <v>40</v>
      </c>
      <c r="D291" t="s">
        <v>81</v>
      </c>
    </row>
    <row r="292" spans="1:4" x14ac:dyDescent="0.2">
      <c r="A292" t="str">
        <f t="shared" si="4"/>
        <v>NPS18_60</v>
      </c>
      <c r="B292">
        <v>22.5</v>
      </c>
      <c r="C292">
        <v>60</v>
      </c>
      <c r="D292" t="s">
        <v>81</v>
      </c>
    </row>
    <row r="293" spans="1:4" x14ac:dyDescent="0.2">
      <c r="A293" t="str">
        <f t="shared" si="4"/>
        <v>NPS18_80</v>
      </c>
      <c r="B293">
        <v>30</v>
      </c>
      <c r="C293">
        <v>80</v>
      </c>
      <c r="D293" t="s">
        <v>81</v>
      </c>
    </row>
    <row r="294" spans="1:4" x14ac:dyDescent="0.2">
      <c r="A294" t="str">
        <f t="shared" si="4"/>
        <v>NPS18_100</v>
      </c>
      <c r="B294">
        <v>37.5</v>
      </c>
      <c r="C294">
        <v>100</v>
      </c>
      <c r="D294" t="s">
        <v>81</v>
      </c>
    </row>
    <row r="295" spans="1:4" x14ac:dyDescent="0.2">
      <c r="A295" t="str">
        <f t="shared" si="4"/>
        <v/>
      </c>
    </row>
    <row r="296" spans="1:4" x14ac:dyDescent="0.2">
      <c r="A296" t="str">
        <f t="shared" si="4"/>
        <v>NSH17_5</v>
      </c>
      <c r="B296" s="122">
        <v>2</v>
      </c>
      <c r="C296" s="122">
        <v>5</v>
      </c>
      <c r="D296" t="s">
        <v>101</v>
      </c>
    </row>
    <row r="297" spans="1:4" x14ac:dyDescent="0.2">
      <c r="A297" t="str">
        <f t="shared" si="4"/>
        <v>NSH17_10</v>
      </c>
      <c r="B297">
        <v>4</v>
      </c>
      <c r="C297">
        <v>10</v>
      </c>
      <c r="D297" t="s">
        <v>101</v>
      </c>
    </row>
    <row r="298" spans="1:4" x14ac:dyDescent="0.2">
      <c r="A298" t="str">
        <f t="shared" si="4"/>
        <v>NSH17_15</v>
      </c>
      <c r="B298">
        <v>6</v>
      </c>
      <c r="C298">
        <v>15</v>
      </c>
      <c r="D298" t="s">
        <v>101</v>
      </c>
    </row>
    <row r="299" spans="1:4" x14ac:dyDescent="0.2">
      <c r="A299" t="str">
        <f t="shared" si="4"/>
        <v>NSH17_20</v>
      </c>
      <c r="B299">
        <v>8</v>
      </c>
      <c r="C299">
        <v>20</v>
      </c>
      <c r="D299" t="s">
        <v>101</v>
      </c>
    </row>
    <row r="300" spans="1:4" x14ac:dyDescent="0.2">
      <c r="A300" t="str">
        <f t="shared" si="4"/>
        <v>NSH17_25</v>
      </c>
      <c r="B300">
        <v>10</v>
      </c>
      <c r="C300">
        <v>25</v>
      </c>
      <c r="D300" t="s">
        <v>101</v>
      </c>
    </row>
    <row r="301" spans="1:4" x14ac:dyDescent="0.2">
      <c r="A301" t="str">
        <f t="shared" si="4"/>
        <v>NSH17_30</v>
      </c>
      <c r="B301">
        <v>12</v>
      </c>
      <c r="C301">
        <v>30</v>
      </c>
      <c r="D301" t="s">
        <v>101</v>
      </c>
    </row>
    <row r="302" spans="1:4" x14ac:dyDescent="0.2">
      <c r="A302" t="str">
        <f t="shared" si="4"/>
        <v>NSH17_35</v>
      </c>
      <c r="B302">
        <v>14</v>
      </c>
      <c r="C302">
        <v>35</v>
      </c>
      <c r="D302" t="s">
        <v>101</v>
      </c>
    </row>
    <row r="303" spans="1:4" x14ac:dyDescent="0.2">
      <c r="A303" t="str">
        <f t="shared" si="4"/>
        <v>NSH17_40</v>
      </c>
      <c r="B303">
        <v>16</v>
      </c>
      <c r="C303">
        <v>40</v>
      </c>
      <c r="D303" t="s">
        <v>101</v>
      </c>
    </row>
    <row r="304" spans="1:4" x14ac:dyDescent="0.2">
      <c r="A304" t="str">
        <f t="shared" si="4"/>
        <v>NSH17_45</v>
      </c>
      <c r="B304">
        <v>18</v>
      </c>
      <c r="C304">
        <v>45</v>
      </c>
      <c r="D304" t="s">
        <v>101</v>
      </c>
    </row>
    <row r="305" spans="1:4" x14ac:dyDescent="0.2">
      <c r="A305" t="str">
        <f t="shared" si="4"/>
        <v>NSH17_50</v>
      </c>
      <c r="B305">
        <v>20</v>
      </c>
      <c r="C305">
        <v>50</v>
      </c>
      <c r="D305" t="s">
        <v>101</v>
      </c>
    </row>
    <row r="306" spans="1:4" x14ac:dyDescent="0.2">
      <c r="A306" t="str">
        <f t="shared" si="4"/>
        <v/>
      </c>
    </row>
    <row r="307" spans="1:4" x14ac:dyDescent="0.2">
      <c r="A307" t="str">
        <f t="shared" si="4"/>
        <v>NPH18_0</v>
      </c>
      <c r="B307">
        <v>5</v>
      </c>
      <c r="C307">
        <v>0</v>
      </c>
      <c r="D307" s="49" t="s">
        <v>171</v>
      </c>
    </row>
    <row r="308" spans="1:4" x14ac:dyDescent="0.2">
      <c r="A308" t="str">
        <f t="shared" si="4"/>
        <v>NPH18_20</v>
      </c>
      <c r="B308">
        <v>15</v>
      </c>
      <c r="C308">
        <v>20</v>
      </c>
      <c r="D308" s="49" t="s">
        <v>171</v>
      </c>
    </row>
    <row r="309" spans="1:4" x14ac:dyDescent="0.2">
      <c r="A309" t="str">
        <f t="shared" si="4"/>
        <v>NPH18_40</v>
      </c>
      <c r="B309">
        <v>30</v>
      </c>
      <c r="C309">
        <v>40</v>
      </c>
      <c r="D309" s="49" t="s">
        <v>171</v>
      </c>
    </row>
    <row r="310" spans="1:4" x14ac:dyDescent="0.2">
      <c r="A310" t="str">
        <f t="shared" si="4"/>
        <v>NPH18_50</v>
      </c>
      <c r="B310">
        <v>37.5</v>
      </c>
      <c r="C310">
        <v>50</v>
      </c>
      <c r="D310" s="49" t="s">
        <v>171</v>
      </c>
    </row>
    <row r="311" spans="1:4" x14ac:dyDescent="0.2">
      <c r="D311" s="49"/>
    </row>
    <row r="312" spans="1:4" x14ac:dyDescent="0.2">
      <c r="A312" t="str">
        <f t="shared" ref="A312:A320" si="5">IF(D312="","",CONCATENATE(D312,"_",C312))</f>
        <v>NVS18_Typ1_0</v>
      </c>
      <c r="B312">
        <v>5</v>
      </c>
      <c r="C312" s="49">
        <v>0</v>
      </c>
      <c r="D312" s="49" t="s">
        <v>204</v>
      </c>
    </row>
    <row r="313" spans="1:4" x14ac:dyDescent="0.2">
      <c r="A313" t="str">
        <f t="shared" si="5"/>
        <v>NVS18_Typ1_30</v>
      </c>
      <c r="B313">
        <v>15</v>
      </c>
      <c r="C313" s="49">
        <v>30</v>
      </c>
      <c r="D313" s="49" t="s">
        <v>204</v>
      </c>
    </row>
    <row r="314" spans="1:4" x14ac:dyDescent="0.2">
      <c r="A314" t="str">
        <f t="shared" si="5"/>
        <v>NVS18_Typ1_60</v>
      </c>
      <c r="B314">
        <v>30</v>
      </c>
      <c r="C314" s="49">
        <v>60</v>
      </c>
      <c r="D314" s="49" t="s">
        <v>204</v>
      </c>
    </row>
    <row r="315" spans="1:4" x14ac:dyDescent="0.2">
      <c r="A315" t="str">
        <f t="shared" si="5"/>
        <v>NVS18_Typ1_80</v>
      </c>
      <c r="B315">
        <v>37.5</v>
      </c>
      <c r="C315" s="49">
        <v>80</v>
      </c>
      <c r="D315" s="49" t="s">
        <v>204</v>
      </c>
    </row>
    <row r="316" spans="1:4" x14ac:dyDescent="0.2">
      <c r="A316" t="str">
        <f t="shared" si="5"/>
        <v/>
      </c>
    </row>
    <row r="317" spans="1:4" x14ac:dyDescent="0.2">
      <c r="A317" t="str">
        <f t="shared" si="5"/>
        <v>NVS18_Typ2_0</v>
      </c>
      <c r="B317">
        <v>5</v>
      </c>
      <c r="C317" s="49">
        <v>0</v>
      </c>
      <c r="D317" s="49" t="s">
        <v>205</v>
      </c>
    </row>
    <row r="318" spans="1:4" x14ac:dyDescent="0.2">
      <c r="A318" t="str">
        <f t="shared" si="5"/>
        <v>NVS18_Typ2_30</v>
      </c>
      <c r="B318">
        <v>15</v>
      </c>
      <c r="C318" s="49">
        <v>30</v>
      </c>
      <c r="D318" s="49" t="s">
        <v>205</v>
      </c>
    </row>
    <row r="319" spans="1:4" x14ac:dyDescent="0.2">
      <c r="A319" t="str">
        <f t="shared" si="5"/>
        <v>NVS18_Typ2_60</v>
      </c>
      <c r="B319">
        <v>30</v>
      </c>
      <c r="C319" s="49">
        <v>60</v>
      </c>
      <c r="D319" s="49" t="s">
        <v>205</v>
      </c>
    </row>
    <row r="320" spans="1:4" x14ac:dyDescent="0.2">
      <c r="A320" t="str">
        <f t="shared" si="5"/>
        <v>NVS18_Typ2_80</v>
      </c>
      <c r="B320">
        <v>37.5</v>
      </c>
      <c r="C320" s="49">
        <v>80</v>
      </c>
      <c r="D320" s="49" t="s">
        <v>205</v>
      </c>
    </row>
    <row r="321" spans="1:4" x14ac:dyDescent="0.2">
      <c r="A321" t="str">
        <f t="shared" si="4"/>
        <v/>
      </c>
    </row>
    <row r="322" spans="1:4" x14ac:dyDescent="0.2">
      <c r="A322" t="str">
        <f t="shared" si="4"/>
        <v>MIX12_5</v>
      </c>
      <c r="B322" s="122">
        <v>2</v>
      </c>
      <c r="C322" s="122">
        <v>5</v>
      </c>
      <c r="D322" t="s">
        <v>193</v>
      </c>
    </row>
    <row r="323" spans="1:4" x14ac:dyDescent="0.2">
      <c r="A323" t="str">
        <f t="shared" si="4"/>
        <v>MIX12_10</v>
      </c>
      <c r="B323">
        <v>4</v>
      </c>
      <c r="C323">
        <v>10</v>
      </c>
      <c r="D323" t="s">
        <v>193</v>
      </c>
    </row>
    <row r="324" spans="1:4" x14ac:dyDescent="0.2">
      <c r="A324" t="str">
        <f t="shared" si="4"/>
        <v>MIX12_15</v>
      </c>
      <c r="B324">
        <v>6</v>
      </c>
      <c r="C324">
        <v>15</v>
      </c>
      <c r="D324" t="s">
        <v>193</v>
      </c>
    </row>
    <row r="325" spans="1:4" x14ac:dyDescent="0.2">
      <c r="A325" t="str">
        <f t="shared" si="4"/>
        <v>MIX12_20</v>
      </c>
      <c r="B325">
        <v>8</v>
      </c>
      <c r="C325">
        <v>20</v>
      </c>
      <c r="D325" t="s">
        <v>193</v>
      </c>
    </row>
    <row r="326" spans="1:4" x14ac:dyDescent="0.2">
      <c r="A326" t="str">
        <f t="shared" si="4"/>
        <v>MIX12_25</v>
      </c>
      <c r="B326">
        <v>10</v>
      </c>
      <c r="C326">
        <v>25</v>
      </c>
      <c r="D326" t="s">
        <v>193</v>
      </c>
    </row>
    <row r="327" spans="1:4" x14ac:dyDescent="0.2">
      <c r="A327" t="str">
        <f t="shared" si="4"/>
        <v>MIX12_30</v>
      </c>
      <c r="B327">
        <v>12</v>
      </c>
      <c r="C327">
        <v>30</v>
      </c>
      <c r="D327" t="s">
        <v>193</v>
      </c>
    </row>
    <row r="328" spans="1:4" x14ac:dyDescent="0.2">
      <c r="A328" t="str">
        <f t="shared" si="4"/>
        <v>MIX12_35</v>
      </c>
      <c r="B328">
        <v>14</v>
      </c>
      <c r="C328">
        <v>35</v>
      </c>
      <c r="D328" t="s">
        <v>193</v>
      </c>
    </row>
    <row r="329" spans="1:4" x14ac:dyDescent="0.2">
      <c r="A329" t="str">
        <f t="shared" si="4"/>
        <v>MIX12_40</v>
      </c>
      <c r="B329">
        <v>16</v>
      </c>
      <c r="C329">
        <v>40</v>
      </c>
      <c r="D329" t="s">
        <v>193</v>
      </c>
    </row>
    <row r="330" spans="1:4" x14ac:dyDescent="0.2">
      <c r="A330" t="str">
        <f t="shared" si="4"/>
        <v>MIX12_45</v>
      </c>
      <c r="B330">
        <v>18</v>
      </c>
      <c r="C330">
        <v>45</v>
      </c>
      <c r="D330" t="s">
        <v>193</v>
      </c>
    </row>
    <row r="331" spans="1:4" x14ac:dyDescent="0.2">
      <c r="A331" t="str">
        <f t="shared" si="4"/>
        <v>MIX12_50</v>
      </c>
      <c r="B331">
        <v>20</v>
      </c>
      <c r="C331">
        <v>50</v>
      </c>
      <c r="D331" t="s">
        <v>193</v>
      </c>
    </row>
    <row r="332" spans="1:4" x14ac:dyDescent="0.2">
      <c r="A332" t="str">
        <f t="shared" si="4"/>
        <v/>
      </c>
    </row>
    <row r="333" spans="1:4" x14ac:dyDescent="0.2">
      <c r="A333" t="str">
        <f t="shared" ref="A333:A342" si="6">IF(D333="","",CONCATENATE(D333,"_",C333))</f>
        <v>MIX15_5</v>
      </c>
      <c r="B333" s="122">
        <v>2</v>
      </c>
      <c r="C333" s="122">
        <v>5</v>
      </c>
      <c r="D333" t="s">
        <v>194</v>
      </c>
    </row>
    <row r="334" spans="1:4" x14ac:dyDescent="0.2">
      <c r="A334" t="str">
        <f t="shared" si="6"/>
        <v>MIX15_10</v>
      </c>
      <c r="B334">
        <v>4</v>
      </c>
      <c r="C334">
        <v>10</v>
      </c>
      <c r="D334" t="s">
        <v>194</v>
      </c>
    </row>
    <row r="335" spans="1:4" x14ac:dyDescent="0.2">
      <c r="A335" t="str">
        <f t="shared" si="6"/>
        <v>MIX15_15</v>
      </c>
      <c r="B335">
        <v>6</v>
      </c>
      <c r="C335">
        <v>15</v>
      </c>
      <c r="D335" t="s">
        <v>194</v>
      </c>
    </row>
    <row r="336" spans="1:4" x14ac:dyDescent="0.2">
      <c r="A336" t="str">
        <f t="shared" si="6"/>
        <v>MIX15_20</v>
      </c>
      <c r="B336">
        <v>8</v>
      </c>
      <c r="C336">
        <v>20</v>
      </c>
      <c r="D336" t="s">
        <v>194</v>
      </c>
    </row>
    <row r="337" spans="1:4" x14ac:dyDescent="0.2">
      <c r="A337" t="str">
        <f t="shared" si="6"/>
        <v>MIX15_25</v>
      </c>
      <c r="B337">
        <v>10</v>
      </c>
      <c r="C337">
        <v>25</v>
      </c>
      <c r="D337" t="s">
        <v>194</v>
      </c>
    </row>
    <row r="338" spans="1:4" x14ac:dyDescent="0.2">
      <c r="A338" t="str">
        <f t="shared" si="6"/>
        <v>MIX15_30</v>
      </c>
      <c r="B338">
        <v>12</v>
      </c>
      <c r="C338">
        <v>30</v>
      </c>
      <c r="D338" t="s">
        <v>194</v>
      </c>
    </row>
    <row r="339" spans="1:4" x14ac:dyDescent="0.2">
      <c r="A339" t="str">
        <f t="shared" si="6"/>
        <v>MIX15_35</v>
      </c>
      <c r="B339">
        <v>14</v>
      </c>
      <c r="C339">
        <v>35</v>
      </c>
      <c r="D339" t="s">
        <v>194</v>
      </c>
    </row>
    <row r="340" spans="1:4" x14ac:dyDescent="0.2">
      <c r="A340" t="str">
        <f t="shared" si="6"/>
        <v>MIX15_40</v>
      </c>
      <c r="B340">
        <v>16</v>
      </c>
      <c r="C340">
        <v>40</v>
      </c>
      <c r="D340" t="s">
        <v>194</v>
      </c>
    </row>
    <row r="341" spans="1:4" x14ac:dyDescent="0.2">
      <c r="A341" t="str">
        <f t="shared" si="6"/>
        <v>MIX15_45</v>
      </c>
      <c r="B341">
        <v>18</v>
      </c>
      <c r="C341">
        <v>45</v>
      </c>
      <c r="D341" t="s">
        <v>194</v>
      </c>
    </row>
    <row r="342" spans="1:4" x14ac:dyDescent="0.2">
      <c r="A342" t="str">
        <f t="shared" si="6"/>
        <v>MIX15_50</v>
      </c>
      <c r="B342">
        <v>20</v>
      </c>
      <c r="C342">
        <v>50</v>
      </c>
      <c r="D342" t="s">
        <v>194</v>
      </c>
    </row>
    <row r="343" spans="1:4" x14ac:dyDescent="0.2">
      <c r="A343" t="str">
        <f t="shared" si="4"/>
        <v/>
      </c>
    </row>
    <row r="344" spans="1:4" x14ac:dyDescent="0.2">
      <c r="A344" t="str">
        <f t="shared" ref="A344:A347" si="7">IF(D344="","",CONCATENATE(D344,"_",C344))</f>
        <v>MIX18_0</v>
      </c>
      <c r="B344">
        <v>5</v>
      </c>
      <c r="C344">
        <v>0</v>
      </c>
      <c r="D344" s="49" t="s">
        <v>192</v>
      </c>
    </row>
    <row r="345" spans="1:4" x14ac:dyDescent="0.2">
      <c r="A345" t="str">
        <f t="shared" si="7"/>
        <v>MIX18_40</v>
      </c>
      <c r="B345">
        <v>15</v>
      </c>
      <c r="C345">
        <v>40</v>
      </c>
      <c r="D345" s="49" t="s">
        <v>192</v>
      </c>
    </row>
    <row r="346" spans="1:4" x14ac:dyDescent="0.2">
      <c r="A346" t="str">
        <f t="shared" si="7"/>
        <v>MIX18_80</v>
      </c>
      <c r="B346">
        <v>30</v>
      </c>
      <c r="C346">
        <v>80</v>
      </c>
      <c r="D346" s="49" t="s">
        <v>192</v>
      </c>
    </row>
    <row r="347" spans="1:4" x14ac:dyDescent="0.2">
      <c r="A347" t="str">
        <f t="shared" si="7"/>
        <v>MIX18_100</v>
      </c>
      <c r="B347">
        <v>37.5</v>
      </c>
      <c r="C347">
        <v>100</v>
      </c>
      <c r="D347" s="49" t="s">
        <v>192</v>
      </c>
    </row>
    <row r="348" spans="1:4" x14ac:dyDescent="0.2">
      <c r="A348" t="str">
        <f t="shared" si="4"/>
        <v/>
      </c>
    </row>
    <row r="349" spans="1:4" x14ac:dyDescent="0.2">
      <c r="A349" t="str">
        <f>IF(D349="","",CONCATENATE(D349,"_",C349))</f>
        <v>MIX18_NVS_0</v>
      </c>
      <c r="B349">
        <f>IF('DGNB LCA Results'!$P$4=4,VLOOKUP(CONCATENATE('DGNB LCA Results'!$M$3,"_",C349),$A$2:$C$320,2,FALSE)*'DGNB LCA Results'!$N$3+
                                                                  VLOOKUP(CONCATENATE('DGNB LCA Results'!$K$3,"_",C349),$A$2:$C$320,2,FALSE)*'DGNB LCA Results'!$L$3+
                                                                  VLOOKUP(CONCATENATE('DGNB LCA Results'!$I$3,"_",C349),$A$2:$C$320,2,FALSE)*'DGNB LCA Results'!$J$3+
                                                                  VLOOKUP(CONCATENATE('DGNB LCA Results'!$G$3,"_",C349),$A$2:$C$320,2,FALSE)*'DGNB LCA Results'!$H$3,
IF('DGNB LCA Results'!$P$4=3,VLOOKUP(CONCATENATE('DGNB LCA Results'!$M$3,"_",C349),$A$2:$C$320,2,FALSE)*'DGNB LCA Results'!$N$3+
                                                                VLOOKUP(CONCATENATE('DGNB LCA Results'!$K$3,"_",C349),$A$2:$C$320,2,FALSE)*'DGNB LCA Results'!$L$3+
                                                                VLOOKUP(CONCATENATE('DGNB LCA Results'!$I$3,"_",C349),$A$2:$C$320,2,FALSE)*'DGNB LCA Results'!$J$3,
IF('DGNB LCA Results'!$P$4=2,VLOOKUP(CONCATENATE('DGNB LCA Results'!$M$3,"_",C349),$A$2:$C$320,2,FALSE)*'DGNB LCA Results'!$N$3+
                                                                 VLOOKUP(CONCATENATE('DGNB LCA Results'!$K$3,"_",C349),$A$2:$C$320,2,FALSE)*'DGNB LCA Results'!$L$3,
IF('DGNB LCA Results'!$P$4=1,VLOOKUP(CONCATENATE('DGNB LCA Results'!$M$3,"_",C349),$A$2:$C$320,2,FALSE)*'DGNB LCA Results'!$N$3,0))))</f>
        <v>0</v>
      </c>
      <c r="C349" s="49">
        <v>0</v>
      </c>
      <c r="D349" s="49" t="s">
        <v>207</v>
      </c>
    </row>
    <row r="350" spans="1:4" x14ac:dyDescent="0.2">
      <c r="A350" t="str">
        <f>IF(D350="","",CONCATENATE(D350,"_",C350))</f>
        <v>MIX18_NVS_30</v>
      </c>
      <c r="B350">
        <f>IF('DGNB LCA Results'!$P$4=4,VLOOKUP(CONCATENATE('DGNB LCA Results'!$M$3,"_",C350),$A$2:$C$320,2,FALSE)*'DGNB LCA Results'!$N$3+
                                                                  VLOOKUP(CONCATENATE('DGNB LCA Results'!$K$3,"_",C350),$A$2:$C$320,2,FALSE)*'DGNB LCA Results'!$L$3+
                                                                  VLOOKUP(CONCATENATE('DGNB LCA Results'!$I$3,"_",C350),$A$2:$C$320,2,FALSE)*'DGNB LCA Results'!$J$3+
                                                                  VLOOKUP(CONCATENATE('DGNB LCA Results'!$G$3,"_",C350),$A$2:$C$320,2,FALSE)*'DGNB LCA Results'!$H$3,
IF('DGNB LCA Results'!$P$4=3,VLOOKUP(CONCATENATE('DGNB LCA Results'!$M$3,"_",C350),$A$2:$C$320,2,FALSE)*'DGNB LCA Results'!$N$3+
                                                                VLOOKUP(CONCATENATE('DGNB LCA Results'!$K$3,"_",C350),$A$2:$C$320,2,FALSE)*'DGNB LCA Results'!$L$3+
                                                                VLOOKUP(CONCATENATE('DGNB LCA Results'!$I$3,"_",C350),$A$2:$C$320,2,FALSE)*'DGNB LCA Results'!$J$3,
IF('DGNB LCA Results'!$P$4=2,VLOOKUP(CONCATENATE('DGNB LCA Results'!$M$3,"_",C350),$A$2:$C$320,2,FALSE)*'DGNB LCA Results'!$N$3+
                                                                 VLOOKUP(CONCATENATE('DGNB LCA Results'!$K$3,"_",C350),$A$2:$C$320,2,FALSE)*'DGNB LCA Results'!$L$3,
IF('DGNB LCA Results'!$P$4=1,VLOOKUP(CONCATENATE('DGNB LCA Results'!$M$3,"_",C350),$A$2:$C$320,2,FALSE)*'DGNB LCA Results'!$N$3,0))))</f>
        <v>0</v>
      </c>
      <c r="C350" s="49">
        <v>30</v>
      </c>
      <c r="D350" s="49" t="s">
        <v>207</v>
      </c>
    </row>
    <row r="351" spans="1:4" x14ac:dyDescent="0.2">
      <c r="A351" t="str">
        <f>IF(D351="","",CONCATENATE(D351,"_",C351))</f>
        <v>MIX18_NVS_60</v>
      </c>
      <c r="B351">
        <f>IF('DGNB LCA Results'!$P$4=4,VLOOKUP(CONCATENATE('DGNB LCA Results'!$M$3,"_",C351),$A$2:$C$320,2,FALSE)*'DGNB LCA Results'!$N$3+
                                                                  VLOOKUP(CONCATENATE('DGNB LCA Results'!$K$3,"_",C351),$A$2:$C$320,2,FALSE)*'DGNB LCA Results'!$L$3+
                                                                  VLOOKUP(CONCATENATE('DGNB LCA Results'!$I$3,"_",C351),$A$2:$C$320,2,FALSE)*'DGNB LCA Results'!$J$3+
                                                                  VLOOKUP(CONCATENATE('DGNB LCA Results'!$G$3,"_",C351),$A$2:$C$320,2,FALSE)*'DGNB LCA Results'!$H$3,
IF('DGNB LCA Results'!$P$4=3,VLOOKUP(CONCATENATE('DGNB LCA Results'!$M$3,"_",C351),$A$2:$C$320,2,FALSE)*'DGNB LCA Results'!$N$3+
                                                                VLOOKUP(CONCATENATE('DGNB LCA Results'!$K$3,"_",C351),$A$2:$C$320,2,FALSE)*'DGNB LCA Results'!$L$3+
                                                                VLOOKUP(CONCATENATE('DGNB LCA Results'!$I$3,"_",C351),$A$2:$C$320,2,FALSE)*'DGNB LCA Results'!$J$3,
IF('DGNB LCA Results'!$P$4=2,VLOOKUP(CONCATENATE('DGNB LCA Results'!$M$3,"_",C351),$A$2:$C$320,2,FALSE)*'DGNB LCA Results'!$N$3+
                                                                 VLOOKUP(CONCATENATE('DGNB LCA Results'!$K$3,"_",C351),$A$2:$C$320,2,FALSE)*'DGNB LCA Results'!$L$3,
IF('DGNB LCA Results'!$P$4=1,VLOOKUP(CONCATENATE('DGNB LCA Results'!$M$3,"_",C351),$A$2:$C$320,2,FALSE)*'DGNB LCA Results'!$N$3,0))))</f>
        <v>0</v>
      </c>
      <c r="C351" s="49">
        <v>60</v>
      </c>
      <c r="D351" s="49" t="s">
        <v>207</v>
      </c>
    </row>
    <row r="352" spans="1:4" x14ac:dyDescent="0.2">
      <c r="A352" t="str">
        <f>IF(D352="","",CONCATENATE(D352,"_",C352))</f>
        <v>MIX18_NVS_80</v>
      </c>
      <c r="B352">
        <f>IF('DGNB LCA Results'!$P$4=4,VLOOKUP(CONCATENATE('DGNB LCA Results'!$M$3,"_",C352),$A$2:$C$320,2,FALSE)*'DGNB LCA Results'!$N$3+
                                                                  VLOOKUP(CONCATENATE('DGNB LCA Results'!$K$3,"_",C352),$A$2:$C$320,2,FALSE)*'DGNB LCA Results'!$L$3+
                                                                  VLOOKUP(CONCATENATE('DGNB LCA Results'!$I$3,"_",C352),$A$2:$C$320,2,FALSE)*'DGNB LCA Results'!$J$3+
                                                                  VLOOKUP(CONCATENATE('DGNB LCA Results'!$G$3,"_",C352),$A$2:$C$320,2,FALSE)*'DGNB LCA Results'!$H$3,
IF('DGNB LCA Results'!$P$4=3,VLOOKUP(CONCATENATE('DGNB LCA Results'!$M$3,"_",C352),$A$2:$C$320,2,FALSE)*'DGNB LCA Results'!$N$3+
                                                                VLOOKUP(CONCATENATE('DGNB LCA Results'!$K$3,"_",C352),$A$2:$C$320,2,FALSE)*'DGNB LCA Results'!$L$3+
                                                                VLOOKUP(CONCATENATE('DGNB LCA Results'!$I$3,"_",C352),$A$2:$C$320,2,FALSE)*'DGNB LCA Results'!$J$3,
IF('DGNB LCA Results'!$P$4=2,VLOOKUP(CONCATENATE('DGNB LCA Results'!$M$3,"_",C352),$A$2:$C$320,2,FALSE)*'DGNB LCA Results'!$N$3+
                                                                 VLOOKUP(CONCATENATE('DGNB LCA Results'!$K$3,"_",C352),$A$2:$C$320,2,FALSE)*'DGNB LCA Results'!$L$3,
IF('DGNB LCA Results'!$P$4=1,VLOOKUP(CONCATENATE('DGNB LCA Results'!$M$3,"_",C352),$A$2:$C$320,2,FALSE)*'DGNB LCA Results'!$N$3,0))))</f>
        <v>0</v>
      </c>
      <c r="C352" s="49">
        <v>80</v>
      </c>
      <c r="D352" s="49" t="s">
        <v>207</v>
      </c>
    </row>
    <row r="358" spans="1:1" x14ac:dyDescent="0.2">
      <c r="A358" t="str">
        <f t="shared" ref="A358:A414" si="8">IF(D358="","",CONCATENATE(D358,"_",C358))</f>
        <v/>
      </c>
    </row>
    <row r="359" spans="1:1" x14ac:dyDescent="0.2">
      <c r="A359" t="str">
        <f t="shared" si="8"/>
        <v/>
      </c>
    </row>
    <row r="360" spans="1:1" x14ac:dyDescent="0.2">
      <c r="A360" t="str">
        <f t="shared" si="8"/>
        <v/>
      </c>
    </row>
    <row r="361" spans="1:1" x14ac:dyDescent="0.2">
      <c r="A361" t="str">
        <f t="shared" si="8"/>
        <v/>
      </c>
    </row>
    <row r="362" spans="1:1" x14ac:dyDescent="0.2">
      <c r="A362" t="str">
        <f t="shared" si="8"/>
        <v/>
      </c>
    </row>
    <row r="363" spans="1:1" x14ac:dyDescent="0.2">
      <c r="A363" t="str">
        <f t="shared" si="8"/>
        <v/>
      </c>
    </row>
    <row r="364" spans="1:1" x14ac:dyDescent="0.2">
      <c r="A364" t="str">
        <f t="shared" si="8"/>
        <v/>
      </c>
    </row>
    <row r="365" spans="1:1" x14ac:dyDescent="0.2">
      <c r="A365" t="str">
        <f t="shared" si="8"/>
        <v/>
      </c>
    </row>
    <row r="366" spans="1:1" x14ac:dyDescent="0.2">
      <c r="A366" t="str">
        <f t="shared" si="8"/>
        <v/>
      </c>
    </row>
    <row r="367" spans="1:1" x14ac:dyDescent="0.2">
      <c r="A367" t="str">
        <f t="shared" si="8"/>
        <v/>
      </c>
    </row>
    <row r="368" spans="1:1" x14ac:dyDescent="0.2">
      <c r="A368" t="str">
        <f t="shared" si="8"/>
        <v/>
      </c>
    </row>
    <row r="369" spans="1:1" x14ac:dyDescent="0.2">
      <c r="A369" t="str">
        <f t="shared" si="8"/>
        <v/>
      </c>
    </row>
    <row r="370" spans="1:1" x14ac:dyDescent="0.2">
      <c r="A370" t="str">
        <f t="shared" si="8"/>
        <v/>
      </c>
    </row>
    <row r="371" spans="1:1" x14ac:dyDescent="0.2">
      <c r="A371" t="str">
        <f t="shared" si="8"/>
        <v/>
      </c>
    </row>
    <row r="372" spans="1:1" x14ac:dyDescent="0.2">
      <c r="A372" t="str">
        <f t="shared" si="8"/>
        <v/>
      </c>
    </row>
    <row r="373" spans="1:1" x14ac:dyDescent="0.2">
      <c r="A373" t="str">
        <f t="shared" si="8"/>
        <v/>
      </c>
    </row>
    <row r="374" spans="1:1" x14ac:dyDescent="0.2">
      <c r="A374" t="str">
        <f t="shared" si="8"/>
        <v/>
      </c>
    </row>
    <row r="375" spans="1:1" x14ac:dyDescent="0.2">
      <c r="A375" t="str">
        <f t="shared" si="8"/>
        <v/>
      </c>
    </row>
    <row r="376" spans="1:1" x14ac:dyDescent="0.2">
      <c r="A376" t="str">
        <f t="shared" si="8"/>
        <v/>
      </c>
    </row>
    <row r="377" spans="1:1" x14ac:dyDescent="0.2">
      <c r="A377" t="str">
        <f t="shared" si="8"/>
        <v/>
      </c>
    </row>
    <row r="378" spans="1:1" x14ac:dyDescent="0.2">
      <c r="A378" t="str">
        <f t="shared" si="8"/>
        <v/>
      </c>
    </row>
    <row r="379" spans="1:1" x14ac:dyDescent="0.2">
      <c r="A379" t="str">
        <f t="shared" si="8"/>
        <v/>
      </c>
    </row>
    <row r="380" spans="1:1" x14ac:dyDescent="0.2">
      <c r="A380" t="str">
        <f t="shared" si="8"/>
        <v/>
      </c>
    </row>
    <row r="381" spans="1:1" x14ac:dyDescent="0.2">
      <c r="A381" t="str">
        <f t="shared" si="8"/>
        <v/>
      </c>
    </row>
    <row r="382" spans="1:1" x14ac:dyDescent="0.2">
      <c r="A382" t="str">
        <f t="shared" si="8"/>
        <v/>
      </c>
    </row>
    <row r="383" spans="1:1" x14ac:dyDescent="0.2">
      <c r="A383" t="str">
        <f t="shared" si="8"/>
        <v/>
      </c>
    </row>
    <row r="384" spans="1:1" x14ac:dyDescent="0.2">
      <c r="A384" t="str">
        <f t="shared" si="8"/>
        <v/>
      </c>
    </row>
    <row r="385" spans="1:1" x14ac:dyDescent="0.2">
      <c r="A385" t="str">
        <f t="shared" si="8"/>
        <v/>
      </c>
    </row>
    <row r="386" spans="1:1" x14ac:dyDescent="0.2">
      <c r="A386" t="str">
        <f t="shared" si="8"/>
        <v/>
      </c>
    </row>
    <row r="387" spans="1:1" x14ac:dyDescent="0.2">
      <c r="A387" t="str">
        <f t="shared" si="8"/>
        <v/>
      </c>
    </row>
    <row r="388" spans="1:1" x14ac:dyDescent="0.2">
      <c r="A388" t="str">
        <f t="shared" si="8"/>
        <v/>
      </c>
    </row>
    <row r="389" spans="1:1" x14ac:dyDescent="0.2">
      <c r="A389" t="str">
        <f t="shared" si="8"/>
        <v/>
      </c>
    </row>
    <row r="390" spans="1:1" x14ac:dyDescent="0.2">
      <c r="A390" t="str">
        <f t="shared" si="8"/>
        <v/>
      </c>
    </row>
    <row r="391" spans="1:1" x14ac:dyDescent="0.2">
      <c r="A391" t="str">
        <f t="shared" si="8"/>
        <v/>
      </c>
    </row>
    <row r="392" spans="1:1" x14ac:dyDescent="0.2">
      <c r="A392" t="str">
        <f t="shared" si="8"/>
        <v/>
      </c>
    </row>
    <row r="393" spans="1:1" x14ac:dyDescent="0.2">
      <c r="A393" t="str">
        <f t="shared" si="8"/>
        <v/>
      </c>
    </row>
    <row r="394" spans="1:1" x14ac:dyDescent="0.2">
      <c r="A394" t="str">
        <f t="shared" si="8"/>
        <v/>
      </c>
    </row>
    <row r="395" spans="1:1" x14ac:dyDescent="0.2">
      <c r="A395" t="str">
        <f t="shared" si="8"/>
        <v/>
      </c>
    </row>
    <row r="396" spans="1:1" x14ac:dyDescent="0.2">
      <c r="A396" t="str">
        <f t="shared" si="8"/>
        <v/>
      </c>
    </row>
    <row r="397" spans="1:1" x14ac:dyDescent="0.2">
      <c r="A397" t="str">
        <f t="shared" si="8"/>
        <v/>
      </c>
    </row>
    <row r="398" spans="1:1" x14ac:dyDescent="0.2">
      <c r="A398" t="str">
        <f t="shared" si="8"/>
        <v/>
      </c>
    </row>
    <row r="399" spans="1:1" x14ac:dyDescent="0.2">
      <c r="A399" t="str">
        <f t="shared" si="8"/>
        <v/>
      </c>
    </row>
    <row r="400" spans="1:1" x14ac:dyDescent="0.2">
      <c r="A400" t="str">
        <f t="shared" si="8"/>
        <v/>
      </c>
    </row>
    <row r="401" spans="1:1" x14ac:dyDescent="0.2">
      <c r="A401" t="str">
        <f t="shared" si="8"/>
        <v/>
      </c>
    </row>
    <row r="402" spans="1:1" x14ac:dyDescent="0.2">
      <c r="A402" t="str">
        <f t="shared" si="8"/>
        <v/>
      </c>
    </row>
    <row r="403" spans="1:1" x14ac:dyDescent="0.2">
      <c r="A403" t="str">
        <f t="shared" si="8"/>
        <v/>
      </c>
    </row>
    <row r="404" spans="1:1" x14ac:dyDescent="0.2">
      <c r="A404" t="str">
        <f t="shared" si="8"/>
        <v/>
      </c>
    </row>
    <row r="405" spans="1:1" x14ac:dyDescent="0.2">
      <c r="A405" t="str">
        <f t="shared" si="8"/>
        <v/>
      </c>
    </row>
    <row r="406" spans="1:1" x14ac:dyDescent="0.2">
      <c r="A406" t="str">
        <f t="shared" si="8"/>
        <v/>
      </c>
    </row>
    <row r="407" spans="1:1" x14ac:dyDescent="0.2">
      <c r="A407" t="str">
        <f t="shared" si="8"/>
        <v/>
      </c>
    </row>
    <row r="408" spans="1:1" x14ac:dyDescent="0.2">
      <c r="A408" t="str">
        <f t="shared" si="8"/>
        <v/>
      </c>
    </row>
    <row r="409" spans="1:1" x14ac:dyDescent="0.2">
      <c r="A409" t="str">
        <f t="shared" si="8"/>
        <v/>
      </c>
    </row>
    <row r="410" spans="1:1" x14ac:dyDescent="0.2">
      <c r="A410" t="str">
        <f t="shared" si="8"/>
        <v/>
      </c>
    </row>
    <row r="411" spans="1:1" x14ac:dyDescent="0.2">
      <c r="A411" t="str">
        <f t="shared" si="8"/>
        <v/>
      </c>
    </row>
    <row r="412" spans="1:1" x14ac:dyDescent="0.2">
      <c r="A412" t="str">
        <f t="shared" si="8"/>
        <v/>
      </c>
    </row>
    <row r="413" spans="1:1" x14ac:dyDescent="0.2">
      <c r="A413" t="str">
        <f t="shared" si="8"/>
        <v/>
      </c>
    </row>
    <row r="414" spans="1:1" x14ac:dyDescent="0.2">
      <c r="A414" t="str">
        <f t="shared" si="8"/>
        <v/>
      </c>
    </row>
    <row r="415" spans="1:1" x14ac:dyDescent="0.2">
      <c r="A415" t="str">
        <f t="shared" ref="A415:A478" si="9">IF(D415="","",CONCATENATE(D415,"_",C415))</f>
        <v/>
      </c>
    </row>
    <row r="416" spans="1:1" x14ac:dyDescent="0.2">
      <c r="A416" t="str">
        <f t="shared" si="9"/>
        <v/>
      </c>
    </row>
    <row r="417" spans="1:1" x14ac:dyDescent="0.2">
      <c r="A417" t="str">
        <f t="shared" si="9"/>
        <v/>
      </c>
    </row>
    <row r="418" spans="1:1" x14ac:dyDescent="0.2">
      <c r="A418" t="str">
        <f t="shared" si="9"/>
        <v/>
      </c>
    </row>
    <row r="419" spans="1:1" x14ac:dyDescent="0.2">
      <c r="A419" t="str">
        <f t="shared" si="9"/>
        <v/>
      </c>
    </row>
    <row r="420" spans="1:1" x14ac:dyDescent="0.2">
      <c r="A420" t="str">
        <f t="shared" si="9"/>
        <v/>
      </c>
    </row>
    <row r="421" spans="1:1" x14ac:dyDescent="0.2">
      <c r="A421" t="str">
        <f t="shared" si="9"/>
        <v/>
      </c>
    </row>
    <row r="422" spans="1:1" x14ac:dyDescent="0.2">
      <c r="A422" t="str">
        <f t="shared" si="9"/>
        <v/>
      </c>
    </row>
    <row r="423" spans="1:1" x14ac:dyDescent="0.2">
      <c r="A423" t="str">
        <f t="shared" si="9"/>
        <v/>
      </c>
    </row>
    <row r="424" spans="1:1" x14ac:dyDescent="0.2">
      <c r="A424" t="str">
        <f t="shared" si="9"/>
        <v/>
      </c>
    </row>
    <row r="425" spans="1:1" x14ac:dyDescent="0.2">
      <c r="A425" t="str">
        <f t="shared" si="9"/>
        <v/>
      </c>
    </row>
    <row r="426" spans="1:1" x14ac:dyDescent="0.2">
      <c r="A426" t="str">
        <f t="shared" si="9"/>
        <v/>
      </c>
    </row>
    <row r="427" spans="1:1" x14ac:dyDescent="0.2">
      <c r="A427" t="str">
        <f t="shared" si="9"/>
        <v/>
      </c>
    </row>
    <row r="428" spans="1:1" x14ac:dyDescent="0.2">
      <c r="A428" t="str">
        <f t="shared" si="9"/>
        <v/>
      </c>
    </row>
    <row r="429" spans="1:1" x14ac:dyDescent="0.2">
      <c r="A429" t="str">
        <f t="shared" si="9"/>
        <v/>
      </c>
    </row>
    <row r="430" spans="1:1" x14ac:dyDescent="0.2">
      <c r="A430" t="str">
        <f t="shared" si="9"/>
        <v/>
      </c>
    </row>
    <row r="431" spans="1:1" x14ac:dyDescent="0.2">
      <c r="A431" t="str">
        <f t="shared" si="9"/>
        <v/>
      </c>
    </row>
    <row r="432" spans="1:1" x14ac:dyDescent="0.2">
      <c r="A432" t="str">
        <f t="shared" si="9"/>
        <v/>
      </c>
    </row>
    <row r="433" spans="1:1" x14ac:dyDescent="0.2">
      <c r="A433" t="str">
        <f t="shared" si="9"/>
        <v/>
      </c>
    </row>
    <row r="434" spans="1:1" x14ac:dyDescent="0.2">
      <c r="A434" t="str">
        <f t="shared" si="9"/>
        <v/>
      </c>
    </row>
    <row r="435" spans="1:1" x14ac:dyDescent="0.2">
      <c r="A435" t="str">
        <f t="shared" si="9"/>
        <v/>
      </c>
    </row>
    <row r="436" spans="1:1" x14ac:dyDescent="0.2">
      <c r="A436" t="str">
        <f t="shared" si="9"/>
        <v/>
      </c>
    </row>
    <row r="437" spans="1:1" x14ac:dyDescent="0.2">
      <c r="A437" t="str">
        <f t="shared" si="9"/>
        <v/>
      </c>
    </row>
    <row r="438" spans="1:1" x14ac:dyDescent="0.2">
      <c r="A438" t="str">
        <f t="shared" si="9"/>
        <v/>
      </c>
    </row>
    <row r="439" spans="1:1" x14ac:dyDescent="0.2">
      <c r="A439" t="str">
        <f t="shared" si="9"/>
        <v/>
      </c>
    </row>
    <row r="440" spans="1:1" x14ac:dyDescent="0.2">
      <c r="A440" t="str">
        <f t="shared" si="9"/>
        <v/>
      </c>
    </row>
    <row r="441" spans="1:1" x14ac:dyDescent="0.2">
      <c r="A441" t="str">
        <f t="shared" si="9"/>
        <v/>
      </c>
    </row>
    <row r="442" spans="1:1" x14ac:dyDescent="0.2">
      <c r="A442" t="str">
        <f t="shared" si="9"/>
        <v/>
      </c>
    </row>
    <row r="443" spans="1:1" x14ac:dyDescent="0.2">
      <c r="A443" t="str">
        <f t="shared" si="9"/>
        <v/>
      </c>
    </row>
    <row r="444" spans="1:1" x14ac:dyDescent="0.2">
      <c r="A444" t="str">
        <f t="shared" si="9"/>
        <v/>
      </c>
    </row>
    <row r="445" spans="1:1" x14ac:dyDescent="0.2">
      <c r="A445" t="str">
        <f t="shared" si="9"/>
        <v/>
      </c>
    </row>
    <row r="446" spans="1:1" x14ac:dyDescent="0.2">
      <c r="A446" t="str">
        <f t="shared" si="9"/>
        <v/>
      </c>
    </row>
    <row r="447" spans="1:1" x14ac:dyDescent="0.2">
      <c r="A447" t="str">
        <f t="shared" si="9"/>
        <v/>
      </c>
    </row>
    <row r="448" spans="1:1" x14ac:dyDescent="0.2">
      <c r="A448" t="str">
        <f t="shared" si="9"/>
        <v/>
      </c>
    </row>
    <row r="449" spans="1:1" x14ac:dyDescent="0.2">
      <c r="A449" t="str">
        <f t="shared" si="9"/>
        <v/>
      </c>
    </row>
    <row r="450" spans="1:1" x14ac:dyDescent="0.2">
      <c r="A450" t="str">
        <f t="shared" si="9"/>
        <v/>
      </c>
    </row>
    <row r="451" spans="1:1" x14ac:dyDescent="0.2">
      <c r="A451" t="str">
        <f t="shared" si="9"/>
        <v/>
      </c>
    </row>
    <row r="452" spans="1:1" x14ac:dyDescent="0.2">
      <c r="A452" t="str">
        <f t="shared" si="9"/>
        <v/>
      </c>
    </row>
    <row r="453" spans="1:1" x14ac:dyDescent="0.2">
      <c r="A453" t="str">
        <f t="shared" si="9"/>
        <v/>
      </c>
    </row>
    <row r="454" spans="1:1" x14ac:dyDescent="0.2">
      <c r="A454" t="str">
        <f t="shared" si="9"/>
        <v/>
      </c>
    </row>
    <row r="455" spans="1:1" x14ac:dyDescent="0.2">
      <c r="A455" t="str">
        <f t="shared" si="9"/>
        <v/>
      </c>
    </row>
    <row r="456" spans="1:1" x14ac:dyDescent="0.2">
      <c r="A456" t="str">
        <f t="shared" si="9"/>
        <v/>
      </c>
    </row>
    <row r="457" spans="1:1" x14ac:dyDescent="0.2">
      <c r="A457" t="str">
        <f t="shared" si="9"/>
        <v/>
      </c>
    </row>
    <row r="458" spans="1:1" x14ac:dyDescent="0.2">
      <c r="A458" t="str">
        <f t="shared" si="9"/>
        <v/>
      </c>
    </row>
    <row r="459" spans="1:1" x14ac:dyDescent="0.2">
      <c r="A459" t="str">
        <f t="shared" si="9"/>
        <v/>
      </c>
    </row>
    <row r="460" spans="1:1" x14ac:dyDescent="0.2">
      <c r="A460" t="str">
        <f t="shared" si="9"/>
        <v/>
      </c>
    </row>
    <row r="461" spans="1:1" x14ac:dyDescent="0.2">
      <c r="A461" t="str">
        <f t="shared" si="9"/>
        <v/>
      </c>
    </row>
    <row r="462" spans="1:1" x14ac:dyDescent="0.2">
      <c r="A462" t="str">
        <f t="shared" si="9"/>
        <v/>
      </c>
    </row>
    <row r="463" spans="1:1" x14ac:dyDescent="0.2">
      <c r="A463" t="str">
        <f t="shared" si="9"/>
        <v/>
      </c>
    </row>
    <row r="464" spans="1:1" x14ac:dyDescent="0.2">
      <c r="A464" t="str">
        <f t="shared" si="9"/>
        <v/>
      </c>
    </row>
    <row r="465" spans="1:1" x14ac:dyDescent="0.2">
      <c r="A465" t="str">
        <f t="shared" si="9"/>
        <v/>
      </c>
    </row>
    <row r="466" spans="1:1" x14ac:dyDescent="0.2">
      <c r="A466" t="str">
        <f t="shared" si="9"/>
        <v/>
      </c>
    </row>
    <row r="467" spans="1:1" x14ac:dyDescent="0.2">
      <c r="A467" t="str">
        <f t="shared" si="9"/>
        <v/>
      </c>
    </row>
    <row r="468" spans="1:1" x14ac:dyDescent="0.2">
      <c r="A468" t="str">
        <f t="shared" si="9"/>
        <v/>
      </c>
    </row>
    <row r="469" spans="1:1" x14ac:dyDescent="0.2">
      <c r="A469" t="str">
        <f t="shared" si="9"/>
        <v/>
      </c>
    </row>
    <row r="470" spans="1:1" x14ac:dyDescent="0.2">
      <c r="A470" t="str">
        <f t="shared" si="9"/>
        <v/>
      </c>
    </row>
    <row r="471" spans="1:1" x14ac:dyDescent="0.2">
      <c r="A471" t="str">
        <f t="shared" si="9"/>
        <v/>
      </c>
    </row>
    <row r="472" spans="1:1" x14ac:dyDescent="0.2">
      <c r="A472" t="str">
        <f t="shared" si="9"/>
        <v/>
      </c>
    </row>
    <row r="473" spans="1:1" x14ac:dyDescent="0.2">
      <c r="A473" t="str">
        <f t="shared" si="9"/>
        <v/>
      </c>
    </row>
    <row r="474" spans="1:1" x14ac:dyDescent="0.2">
      <c r="A474" t="str">
        <f t="shared" si="9"/>
        <v/>
      </c>
    </row>
    <row r="475" spans="1:1" x14ac:dyDescent="0.2">
      <c r="A475" t="str">
        <f t="shared" si="9"/>
        <v/>
      </c>
    </row>
    <row r="476" spans="1:1" x14ac:dyDescent="0.2">
      <c r="A476" t="str">
        <f t="shared" si="9"/>
        <v/>
      </c>
    </row>
    <row r="477" spans="1:1" x14ac:dyDescent="0.2">
      <c r="A477" t="str">
        <f t="shared" si="9"/>
        <v/>
      </c>
    </row>
    <row r="478" spans="1:1" x14ac:dyDescent="0.2">
      <c r="A478" t="str">
        <f t="shared" si="9"/>
        <v/>
      </c>
    </row>
    <row r="479" spans="1:1" x14ac:dyDescent="0.2">
      <c r="A479" t="str">
        <f t="shared" ref="A479:A528" si="10">IF(D479="","",CONCATENATE(D479,"_",C479))</f>
        <v/>
      </c>
    </row>
    <row r="480" spans="1:1" x14ac:dyDescent="0.2">
      <c r="A480" t="str">
        <f t="shared" si="10"/>
        <v/>
      </c>
    </row>
    <row r="481" spans="1:1" x14ac:dyDescent="0.2">
      <c r="A481" t="str">
        <f t="shared" si="10"/>
        <v/>
      </c>
    </row>
    <row r="482" spans="1:1" x14ac:dyDescent="0.2">
      <c r="A482" t="str">
        <f t="shared" si="10"/>
        <v/>
      </c>
    </row>
    <row r="483" spans="1:1" x14ac:dyDescent="0.2">
      <c r="A483" t="str">
        <f t="shared" si="10"/>
        <v/>
      </c>
    </row>
    <row r="484" spans="1:1" x14ac:dyDescent="0.2">
      <c r="A484" t="str">
        <f t="shared" si="10"/>
        <v/>
      </c>
    </row>
    <row r="485" spans="1:1" x14ac:dyDescent="0.2">
      <c r="A485" t="str">
        <f t="shared" si="10"/>
        <v/>
      </c>
    </row>
    <row r="486" spans="1:1" x14ac:dyDescent="0.2">
      <c r="A486" t="str">
        <f t="shared" si="10"/>
        <v/>
      </c>
    </row>
    <row r="487" spans="1:1" x14ac:dyDescent="0.2">
      <c r="A487" t="str">
        <f t="shared" si="10"/>
        <v/>
      </c>
    </row>
    <row r="488" spans="1:1" x14ac:dyDescent="0.2">
      <c r="A488" t="str">
        <f t="shared" si="10"/>
        <v/>
      </c>
    </row>
    <row r="489" spans="1:1" x14ac:dyDescent="0.2">
      <c r="A489" t="str">
        <f t="shared" si="10"/>
        <v/>
      </c>
    </row>
    <row r="490" spans="1:1" x14ac:dyDescent="0.2">
      <c r="A490" t="str">
        <f t="shared" si="10"/>
        <v/>
      </c>
    </row>
    <row r="491" spans="1:1" x14ac:dyDescent="0.2">
      <c r="A491" t="str">
        <f t="shared" si="10"/>
        <v/>
      </c>
    </row>
    <row r="492" spans="1:1" x14ac:dyDescent="0.2">
      <c r="A492" t="str">
        <f t="shared" si="10"/>
        <v/>
      </c>
    </row>
    <row r="493" spans="1:1" x14ac:dyDescent="0.2">
      <c r="A493" t="str">
        <f t="shared" si="10"/>
        <v/>
      </c>
    </row>
    <row r="494" spans="1:1" x14ac:dyDescent="0.2">
      <c r="A494" t="str">
        <f t="shared" si="10"/>
        <v/>
      </c>
    </row>
    <row r="495" spans="1:1" x14ac:dyDescent="0.2">
      <c r="A495" t="str">
        <f t="shared" si="10"/>
        <v/>
      </c>
    </row>
    <row r="496" spans="1:1" x14ac:dyDescent="0.2">
      <c r="A496" t="str">
        <f t="shared" si="10"/>
        <v/>
      </c>
    </row>
    <row r="497" spans="1:1" x14ac:dyDescent="0.2">
      <c r="A497" t="str">
        <f t="shared" si="10"/>
        <v/>
      </c>
    </row>
    <row r="498" spans="1:1" x14ac:dyDescent="0.2">
      <c r="A498" t="str">
        <f t="shared" si="10"/>
        <v/>
      </c>
    </row>
    <row r="499" spans="1:1" x14ac:dyDescent="0.2">
      <c r="A499" t="str">
        <f t="shared" si="10"/>
        <v/>
      </c>
    </row>
    <row r="500" spans="1:1" x14ac:dyDescent="0.2">
      <c r="A500" t="str">
        <f t="shared" si="10"/>
        <v/>
      </c>
    </row>
    <row r="501" spans="1:1" x14ac:dyDescent="0.2">
      <c r="A501" t="str">
        <f t="shared" si="10"/>
        <v/>
      </c>
    </row>
    <row r="502" spans="1:1" x14ac:dyDescent="0.2">
      <c r="A502" t="str">
        <f t="shared" si="10"/>
        <v/>
      </c>
    </row>
    <row r="503" spans="1:1" x14ac:dyDescent="0.2">
      <c r="A503" t="str">
        <f t="shared" si="10"/>
        <v/>
      </c>
    </row>
    <row r="504" spans="1:1" x14ac:dyDescent="0.2">
      <c r="A504" t="str">
        <f t="shared" si="10"/>
        <v/>
      </c>
    </row>
    <row r="505" spans="1:1" x14ac:dyDescent="0.2">
      <c r="A505" t="str">
        <f t="shared" si="10"/>
        <v/>
      </c>
    </row>
    <row r="506" spans="1:1" x14ac:dyDescent="0.2">
      <c r="A506" t="str">
        <f t="shared" si="10"/>
        <v/>
      </c>
    </row>
    <row r="507" spans="1:1" x14ac:dyDescent="0.2">
      <c r="A507" t="str">
        <f t="shared" si="10"/>
        <v/>
      </c>
    </row>
    <row r="508" spans="1:1" x14ac:dyDescent="0.2">
      <c r="A508" t="str">
        <f t="shared" si="10"/>
        <v/>
      </c>
    </row>
    <row r="509" spans="1:1" x14ac:dyDescent="0.2">
      <c r="A509" t="str">
        <f t="shared" si="10"/>
        <v/>
      </c>
    </row>
    <row r="510" spans="1:1" x14ac:dyDescent="0.2">
      <c r="A510" t="str">
        <f t="shared" si="10"/>
        <v/>
      </c>
    </row>
    <row r="511" spans="1:1" x14ac:dyDescent="0.2">
      <c r="A511" t="str">
        <f t="shared" si="10"/>
        <v/>
      </c>
    </row>
    <row r="512" spans="1:1" x14ac:dyDescent="0.2">
      <c r="A512" t="str">
        <f t="shared" si="10"/>
        <v/>
      </c>
    </row>
    <row r="513" spans="1:1" x14ac:dyDescent="0.2">
      <c r="A513" t="str">
        <f t="shared" si="10"/>
        <v/>
      </c>
    </row>
    <row r="514" spans="1:1" x14ac:dyDescent="0.2">
      <c r="A514" t="str">
        <f t="shared" si="10"/>
        <v/>
      </c>
    </row>
    <row r="515" spans="1:1" x14ac:dyDescent="0.2">
      <c r="A515" t="str">
        <f t="shared" si="10"/>
        <v/>
      </c>
    </row>
    <row r="516" spans="1:1" x14ac:dyDescent="0.2">
      <c r="A516" t="str">
        <f t="shared" si="10"/>
        <v/>
      </c>
    </row>
    <row r="517" spans="1:1" x14ac:dyDescent="0.2">
      <c r="A517" t="str">
        <f t="shared" si="10"/>
        <v/>
      </c>
    </row>
    <row r="518" spans="1:1" x14ac:dyDescent="0.2">
      <c r="A518" t="str">
        <f t="shared" si="10"/>
        <v/>
      </c>
    </row>
    <row r="519" spans="1:1" x14ac:dyDescent="0.2">
      <c r="A519" t="str">
        <f t="shared" si="10"/>
        <v/>
      </c>
    </row>
    <row r="520" spans="1:1" x14ac:dyDescent="0.2">
      <c r="A520" t="str">
        <f t="shared" si="10"/>
        <v/>
      </c>
    </row>
    <row r="521" spans="1:1" x14ac:dyDescent="0.2">
      <c r="A521" t="str">
        <f t="shared" si="10"/>
        <v/>
      </c>
    </row>
    <row r="522" spans="1:1" x14ac:dyDescent="0.2">
      <c r="A522" t="str">
        <f t="shared" si="10"/>
        <v/>
      </c>
    </row>
    <row r="523" spans="1:1" x14ac:dyDescent="0.2">
      <c r="A523" t="str">
        <f t="shared" si="10"/>
        <v/>
      </c>
    </row>
    <row r="524" spans="1:1" x14ac:dyDescent="0.2">
      <c r="A524" t="str">
        <f t="shared" si="10"/>
        <v/>
      </c>
    </row>
    <row r="525" spans="1:1" x14ac:dyDescent="0.2">
      <c r="A525" t="str">
        <f t="shared" si="10"/>
        <v/>
      </c>
    </row>
    <row r="526" spans="1:1" x14ac:dyDescent="0.2">
      <c r="A526" t="str">
        <f t="shared" si="10"/>
        <v/>
      </c>
    </row>
    <row r="527" spans="1:1" x14ac:dyDescent="0.2">
      <c r="A527" t="str">
        <f t="shared" si="10"/>
        <v/>
      </c>
    </row>
    <row r="528" spans="1:1" x14ac:dyDescent="0.2">
      <c r="A528" t="str">
        <f t="shared" si="10"/>
        <v/>
      </c>
    </row>
  </sheetData>
  <autoFilter ref="A1:D528" xr:uid="{00000000-0009-0000-0000-000007000000}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/>
  <dimension ref="A1:L39"/>
  <sheetViews>
    <sheetView topLeftCell="A19" workbookViewId="0">
      <selection activeCell="M37" sqref="M37"/>
    </sheetView>
  </sheetViews>
  <sheetFormatPr baseColWidth="10" defaultRowHeight="15" x14ac:dyDescent="0.2"/>
  <cols>
    <col min="1" max="1" width="18.33203125" customWidth="1"/>
    <col min="11" max="11" width="16.33203125" customWidth="1"/>
    <col min="12" max="12" width="15.5" customWidth="1"/>
  </cols>
  <sheetData>
    <row r="1" spans="1:12" x14ac:dyDescent="0.2">
      <c r="A1" t="s">
        <v>106</v>
      </c>
      <c r="B1" t="s">
        <v>146</v>
      </c>
      <c r="C1" t="s">
        <v>148</v>
      </c>
      <c r="D1" t="s">
        <v>147</v>
      </c>
      <c r="E1" t="s">
        <v>149</v>
      </c>
      <c r="F1" t="s">
        <v>150</v>
      </c>
      <c r="G1" t="s">
        <v>151</v>
      </c>
      <c r="H1" t="s">
        <v>152</v>
      </c>
      <c r="I1" t="s">
        <v>153</v>
      </c>
      <c r="J1" t="s">
        <v>154</v>
      </c>
      <c r="K1" t="s">
        <v>155</v>
      </c>
      <c r="L1" t="s">
        <v>156</v>
      </c>
    </row>
    <row r="2" spans="1:12" x14ac:dyDescent="0.2">
      <c r="A2" s="47" t="s">
        <v>0</v>
      </c>
      <c r="B2">
        <v>0.4</v>
      </c>
      <c r="C2">
        <v>0.15</v>
      </c>
      <c r="D2">
        <v>0.15</v>
      </c>
      <c r="E2">
        <v>0.15</v>
      </c>
      <c r="F2">
        <v>0.15</v>
      </c>
      <c r="G2">
        <v>0.6</v>
      </c>
      <c r="H2">
        <v>0.4</v>
      </c>
      <c r="I2">
        <v>0.2</v>
      </c>
      <c r="J2">
        <f>SUM(B2:I2)</f>
        <v>2.2000000000000002</v>
      </c>
      <c r="K2">
        <f>SUM(B2:F2)</f>
        <v>1</v>
      </c>
      <c r="L2">
        <f>SUM(G2:I2)</f>
        <v>1.2</v>
      </c>
    </row>
    <row r="3" spans="1:12" x14ac:dyDescent="0.2">
      <c r="A3" s="47" t="s">
        <v>74</v>
      </c>
      <c r="B3">
        <v>0.4</v>
      </c>
      <c r="C3">
        <v>0.15</v>
      </c>
      <c r="D3">
        <v>0.15</v>
      </c>
      <c r="E3">
        <v>0.15</v>
      </c>
      <c r="F3">
        <v>0.15</v>
      </c>
      <c r="G3">
        <v>0.6</v>
      </c>
      <c r="H3">
        <v>0.4</v>
      </c>
      <c r="I3">
        <v>0.2</v>
      </c>
      <c r="J3">
        <f t="shared" ref="J3:J33" si="0">SUM(B3:I3)</f>
        <v>2.2000000000000002</v>
      </c>
      <c r="K3">
        <f t="shared" ref="K3:K33" si="1">SUM(B3:F3)</f>
        <v>1</v>
      </c>
      <c r="L3">
        <f t="shared" ref="L3:L33" si="2">SUM(G3:I3)</f>
        <v>1.2</v>
      </c>
    </row>
    <row r="4" spans="1:12" x14ac:dyDescent="0.2">
      <c r="A4" s="47" t="s">
        <v>76</v>
      </c>
      <c r="B4">
        <v>0.4</v>
      </c>
      <c r="C4">
        <v>0.15</v>
      </c>
      <c r="D4">
        <v>0.15</v>
      </c>
      <c r="E4">
        <v>0.15</v>
      </c>
      <c r="F4">
        <v>0.15</v>
      </c>
      <c r="G4">
        <v>0.6</v>
      </c>
      <c r="H4">
        <v>0.4</v>
      </c>
      <c r="I4">
        <v>0.2</v>
      </c>
      <c r="J4">
        <f t="shared" si="0"/>
        <v>2.2000000000000002</v>
      </c>
      <c r="K4">
        <f t="shared" si="1"/>
        <v>1</v>
      </c>
      <c r="L4">
        <f t="shared" si="2"/>
        <v>1.2</v>
      </c>
    </row>
    <row r="5" spans="1:12" x14ac:dyDescent="0.2">
      <c r="A5" s="47" t="s">
        <v>78</v>
      </c>
      <c r="B5">
        <v>0.4</v>
      </c>
      <c r="C5">
        <v>0.15</v>
      </c>
      <c r="D5">
        <v>0.15</v>
      </c>
      <c r="E5">
        <v>0.15</v>
      </c>
      <c r="F5">
        <v>0.15</v>
      </c>
      <c r="G5">
        <v>0.6</v>
      </c>
      <c r="H5">
        <v>0.4</v>
      </c>
      <c r="I5">
        <v>0.2</v>
      </c>
      <c r="J5">
        <f t="shared" si="0"/>
        <v>2.2000000000000002</v>
      </c>
      <c r="K5">
        <f t="shared" si="1"/>
        <v>1</v>
      </c>
      <c r="L5">
        <f t="shared" si="2"/>
        <v>1.2</v>
      </c>
    </row>
    <row r="6" spans="1:12" x14ac:dyDescent="0.2">
      <c r="A6" s="47" t="s">
        <v>80</v>
      </c>
      <c r="B6">
        <v>0.4</v>
      </c>
      <c r="C6">
        <v>0.15</v>
      </c>
      <c r="D6">
        <v>0.15</v>
      </c>
      <c r="E6">
        <v>0.15</v>
      </c>
      <c r="F6">
        <v>0.15</v>
      </c>
      <c r="G6">
        <v>0.6</v>
      </c>
      <c r="H6">
        <v>0.4</v>
      </c>
      <c r="I6">
        <v>0.2</v>
      </c>
      <c r="J6">
        <f t="shared" si="0"/>
        <v>2.2000000000000002</v>
      </c>
      <c r="K6">
        <f t="shared" si="1"/>
        <v>1</v>
      </c>
      <c r="L6">
        <f t="shared" si="2"/>
        <v>1.2</v>
      </c>
    </row>
    <row r="7" spans="1:12" x14ac:dyDescent="0.2">
      <c r="A7" s="47" t="s">
        <v>82</v>
      </c>
      <c r="B7">
        <v>0.4</v>
      </c>
      <c r="C7">
        <v>0.15</v>
      </c>
      <c r="D7">
        <v>0.15</v>
      </c>
      <c r="E7">
        <v>0.15</v>
      </c>
      <c r="F7">
        <v>0.15</v>
      </c>
      <c r="G7">
        <v>0.6</v>
      </c>
      <c r="H7">
        <v>0.4</v>
      </c>
      <c r="I7">
        <v>0.2</v>
      </c>
      <c r="J7">
        <f t="shared" si="0"/>
        <v>2.2000000000000002</v>
      </c>
      <c r="K7">
        <f t="shared" si="1"/>
        <v>1</v>
      </c>
      <c r="L7">
        <f t="shared" si="2"/>
        <v>1.2</v>
      </c>
    </row>
    <row r="8" spans="1:12" x14ac:dyDescent="0.2">
      <c r="A8" s="47" t="s">
        <v>83</v>
      </c>
      <c r="B8">
        <v>0.4</v>
      </c>
      <c r="C8">
        <v>0.15</v>
      </c>
      <c r="D8">
        <v>0.15</v>
      </c>
      <c r="E8">
        <v>0.15</v>
      </c>
      <c r="F8">
        <v>0.15</v>
      </c>
      <c r="G8">
        <v>0.6</v>
      </c>
      <c r="H8">
        <v>0.4</v>
      </c>
      <c r="I8">
        <v>0.2</v>
      </c>
      <c r="J8">
        <f t="shared" si="0"/>
        <v>2.2000000000000002</v>
      </c>
      <c r="K8">
        <f t="shared" si="1"/>
        <v>1</v>
      </c>
      <c r="L8">
        <f t="shared" si="2"/>
        <v>1.2</v>
      </c>
    </row>
    <row r="9" spans="1:12" x14ac:dyDescent="0.2">
      <c r="A9" s="47" t="s">
        <v>84</v>
      </c>
      <c r="B9">
        <v>0.4</v>
      </c>
      <c r="C9">
        <v>0.15</v>
      </c>
      <c r="D9">
        <v>0.15</v>
      </c>
      <c r="E9">
        <v>0.15</v>
      </c>
      <c r="F9">
        <v>0.15</v>
      </c>
      <c r="G9">
        <v>0.6</v>
      </c>
      <c r="H9">
        <v>0.4</v>
      </c>
      <c r="I9">
        <v>0.2</v>
      </c>
      <c r="J9">
        <f t="shared" si="0"/>
        <v>2.2000000000000002</v>
      </c>
      <c r="K9">
        <f t="shared" si="1"/>
        <v>1</v>
      </c>
      <c r="L9">
        <f t="shared" si="2"/>
        <v>1.2</v>
      </c>
    </row>
    <row r="10" spans="1:12" x14ac:dyDescent="0.2">
      <c r="A10" s="47" t="s">
        <v>85</v>
      </c>
      <c r="B10">
        <v>0.4</v>
      </c>
      <c r="C10">
        <v>0.15</v>
      </c>
      <c r="D10">
        <v>0.15</v>
      </c>
      <c r="E10">
        <v>0.15</v>
      </c>
      <c r="F10">
        <v>0.15</v>
      </c>
      <c r="G10">
        <v>0.6</v>
      </c>
      <c r="H10">
        <v>0.4</v>
      </c>
      <c r="I10">
        <v>0.2</v>
      </c>
      <c r="J10">
        <f t="shared" si="0"/>
        <v>2.2000000000000002</v>
      </c>
      <c r="K10">
        <f t="shared" si="1"/>
        <v>1</v>
      </c>
      <c r="L10">
        <f t="shared" si="2"/>
        <v>1.2</v>
      </c>
    </row>
    <row r="11" spans="1:12" x14ac:dyDescent="0.2">
      <c r="A11" s="47" t="s">
        <v>86</v>
      </c>
      <c r="B11">
        <v>0.4</v>
      </c>
      <c r="C11">
        <v>0.15</v>
      </c>
      <c r="D11">
        <v>0.15</v>
      </c>
      <c r="E11">
        <v>0.15</v>
      </c>
      <c r="F11">
        <v>0.15</v>
      </c>
      <c r="G11">
        <v>0.6</v>
      </c>
      <c r="H11">
        <v>0.4</v>
      </c>
      <c r="I11">
        <v>0.2</v>
      </c>
      <c r="J11">
        <f t="shared" si="0"/>
        <v>2.2000000000000002</v>
      </c>
      <c r="K11">
        <f t="shared" si="1"/>
        <v>1</v>
      </c>
      <c r="L11">
        <f t="shared" si="2"/>
        <v>1.2</v>
      </c>
    </row>
    <row r="12" spans="1:12" x14ac:dyDescent="0.2">
      <c r="A12" s="47" t="s">
        <v>87</v>
      </c>
      <c r="B12">
        <v>0.4</v>
      </c>
      <c r="C12">
        <v>0.15</v>
      </c>
      <c r="D12">
        <v>0.15</v>
      </c>
      <c r="E12">
        <v>0.15</v>
      </c>
      <c r="F12">
        <v>0.15</v>
      </c>
      <c r="G12">
        <v>0.6</v>
      </c>
      <c r="H12">
        <v>0.4</v>
      </c>
      <c r="I12">
        <v>0.2</v>
      </c>
      <c r="J12">
        <f t="shared" si="0"/>
        <v>2.2000000000000002</v>
      </c>
      <c r="K12">
        <f t="shared" si="1"/>
        <v>1</v>
      </c>
      <c r="L12">
        <f t="shared" si="2"/>
        <v>1.2</v>
      </c>
    </row>
    <row r="13" spans="1:12" x14ac:dyDescent="0.2">
      <c r="A13" s="47" t="s">
        <v>88</v>
      </c>
      <c r="B13">
        <v>0.4</v>
      </c>
      <c r="C13">
        <v>0.15</v>
      </c>
      <c r="D13">
        <v>0.15</v>
      </c>
      <c r="E13">
        <v>0.15</v>
      </c>
      <c r="F13">
        <v>0.15</v>
      </c>
      <c r="G13">
        <v>0.5</v>
      </c>
      <c r="H13">
        <v>0.5</v>
      </c>
      <c r="I13">
        <v>0.25</v>
      </c>
      <c r="J13">
        <f t="shared" si="0"/>
        <v>2.25</v>
      </c>
      <c r="K13">
        <f t="shared" si="1"/>
        <v>1</v>
      </c>
      <c r="L13">
        <f t="shared" si="2"/>
        <v>1.25</v>
      </c>
    </row>
    <row r="14" spans="1:12" x14ac:dyDescent="0.2">
      <c r="A14" s="47" t="s">
        <v>89</v>
      </c>
      <c r="B14">
        <v>0.4</v>
      </c>
      <c r="C14">
        <v>0.15</v>
      </c>
      <c r="D14">
        <v>0.15</v>
      </c>
      <c r="E14">
        <v>0.15</v>
      </c>
      <c r="F14">
        <v>0.15</v>
      </c>
      <c r="G14">
        <v>0.6</v>
      </c>
      <c r="H14">
        <v>0.4</v>
      </c>
      <c r="I14">
        <v>0.2</v>
      </c>
      <c r="J14">
        <f t="shared" si="0"/>
        <v>2.2000000000000002</v>
      </c>
      <c r="K14">
        <f t="shared" si="1"/>
        <v>1</v>
      </c>
      <c r="L14">
        <f t="shared" si="2"/>
        <v>1.2</v>
      </c>
    </row>
    <row r="15" spans="1:12" x14ac:dyDescent="0.2">
      <c r="A15" s="47" t="s">
        <v>90</v>
      </c>
      <c r="B15">
        <v>0.4</v>
      </c>
      <c r="C15">
        <v>0.15</v>
      </c>
      <c r="D15">
        <v>0.15</v>
      </c>
      <c r="E15">
        <v>0.15</v>
      </c>
      <c r="F15">
        <v>0.15</v>
      </c>
      <c r="G15">
        <v>0.6</v>
      </c>
      <c r="H15">
        <v>0.4</v>
      </c>
      <c r="I15">
        <v>0.2</v>
      </c>
      <c r="J15">
        <f t="shared" si="0"/>
        <v>2.2000000000000002</v>
      </c>
      <c r="K15">
        <f t="shared" si="1"/>
        <v>1</v>
      </c>
      <c r="L15">
        <f t="shared" si="2"/>
        <v>1.2</v>
      </c>
    </row>
    <row r="16" spans="1:12" x14ac:dyDescent="0.2">
      <c r="A16" s="47" t="s">
        <v>72</v>
      </c>
      <c r="B16">
        <v>0.4</v>
      </c>
      <c r="C16">
        <v>0.15</v>
      </c>
      <c r="D16">
        <v>0.15</v>
      </c>
      <c r="E16">
        <v>0.15</v>
      </c>
      <c r="F16">
        <v>0.15</v>
      </c>
      <c r="G16">
        <v>0.6</v>
      </c>
      <c r="H16">
        <v>0.4</v>
      </c>
      <c r="I16">
        <v>0.2</v>
      </c>
      <c r="J16">
        <f t="shared" si="0"/>
        <v>2.2000000000000002</v>
      </c>
      <c r="K16">
        <f t="shared" si="1"/>
        <v>1</v>
      </c>
      <c r="L16">
        <f t="shared" si="2"/>
        <v>1.2</v>
      </c>
    </row>
    <row r="17" spans="1:12" x14ac:dyDescent="0.2">
      <c r="A17" s="47" t="s">
        <v>73</v>
      </c>
      <c r="B17">
        <v>0.4</v>
      </c>
      <c r="C17">
        <v>0.15</v>
      </c>
      <c r="D17">
        <v>0.15</v>
      </c>
      <c r="E17">
        <v>0.15</v>
      </c>
      <c r="F17">
        <v>0.15</v>
      </c>
      <c r="G17">
        <v>0.6</v>
      </c>
      <c r="H17">
        <v>0.4</v>
      </c>
      <c r="I17">
        <v>0.2</v>
      </c>
      <c r="J17">
        <f t="shared" si="0"/>
        <v>2.2000000000000002</v>
      </c>
      <c r="K17">
        <f t="shared" si="1"/>
        <v>1</v>
      </c>
      <c r="L17">
        <f t="shared" si="2"/>
        <v>1.2</v>
      </c>
    </row>
    <row r="18" spans="1:12" x14ac:dyDescent="0.2">
      <c r="A18" s="47" t="s">
        <v>75</v>
      </c>
      <c r="B18">
        <v>0.4</v>
      </c>
      <c r="C18">
        <v>0.15</v>
      </c>
      <c r="D18">
        <v>0.15</v>
      </c>
      <c r="E18">
        <v>0.15</v>
      </c>
      <c r="F18">
        <v>0.15</v>
      </c>
      <c r="G18">
        <v>0.6</v>
      </c>
      <c r="H18">
        <v>0.4</v>
      </c>
      <c r="I18">
        <v>0.2</v>
      </c>
      <c r="J18">
        <f t="shared" si="0"/>
        <v>2.2000000000000002</v>
      </c>
      <c r="K18">
        <f t="shared" si="1"/>
        <v>1</v>
      </c>
      <c r="L18">
        <f t="shared" si="2"/>
        <v>1.2</v>
      </c>
    </row>
    <row r="19" spans="1:12" x14ac:dyDescent="0.2">
      <c r="A19" s="47" t="s">
        <v>77</v>
      </c>
      <c r="B19">
        <v>0.4</v>
      </c>
      <c r="C19">
        <v>0.15</v>
      </c>
      <c r="D19">
        <v>0.15</v>
      </c>
      <c r="E19">
        <v>0.15</v>
      </c>
      <c r="F19">
        <v>0.15</v>
      </c>
      <c r="G19">
        <v>0.6</v>
      </c>
      <c r="H19">
        <v>0.4</v>
      </c>
      <c r="I19">
        <v>0.2</v>
      </c>
      <c r="J19">
        <f t="shared" si="0"/>
        <v>2.2000000000000002</v>
      </c>
      <c r="K19">
        <f t="shared" si="1"/>
        <v>1</v>
      </c>
      <c r="L19">
        <f t="shared" si="2"/>
        <v>1.2</v>
      </c>
    </row>
    <row r="20" spans="1:12" x14ac:dyDescent="0.2">
      <c r="A20" s="47" t="s">
        <v>91</v>
      </c>
      <c r="B20">
        <v>0.4</v>
      </c>
      <c r="C20">
        <v>0.15</v>
      </c>
      <c r="D20">
        <v>0.15</v>
      </c>
      <c r="E20">
        <v>0.15</v>
      </c>
      <c r="F20">
        <v>0.15</v>
      </c>
      <c r="G20">
        <v>0.6</v>
      </c>
      <c r="H20">
        <v>0.4</v>
      </c>
      <c r="I20">
        <v>0.2</v>
      </c>
      <c r="J20">
        <f t="shared" si="0"/>
        <v>2.2000000000000002</v>
      </c>
      <c r="K20">
        <f t="shared" si="1"/>
        <v>1</v>
      </c>
      <c r="L20">
        <f t="shared" si="2"/>
        <v>1.2</v>
      </c>
    </row>
    <row r="21" spans="1:12" x14ac:dyDescent="0.2">
      <c r="A21" s="47" t="s">
        <v>92</v>
      </c>
      <c r="B21">
        <v>0.4</v>
      </c>
      <c r="C21">
        <v>0.15</v>
      </c>
      <c r="D21">
        <v>0.15</v>
      </c>
      <c r="E21">
        <v>0.15</v>
      </c>
      <c r="F21">
        <v>0.15</v>
      </c>
      <c r="G21">
        <v>0.6</v>
      </c>
      <c r="H21">
        <v>0.4</v>
      </c>
      <c r="I21">
        <v>0.2</v>
      </c>
      <c r="J21">
        <f t="shared" si="0"/>
        <v>2.2000000000000002</v>
      </c>
      <c r="K21">
        <f t="shared" si="1"/>
        <v>1</v>
      </c>
      <c r="L21">
        <f t="shared" si="2"/>
        <v>1.2</v>
      </c>
    </row>
    <row r="22" spans="1:12" x14ac:dyDescent="0.2">
      <c r="A22" s="47" t="s">
        <v>93</v>
      </c>
      <c r="B22">
        <v>0.4</v>
      </c>
      <c r="C22">
        <v>0.15</v>
      </c>
      <c r="D22">
        <v>0.15</v>
      </c>
      <c r="E22">
        <v>0.15</v>
      </c>
      <c r="F22">
        <v>0.15</v>
      </c>
      <c r="G22">
        <v>0.6</v>
      </c>
      <c r="H22">
        <v>0.4</v>
      </c>
      <c r="I22">
        <v>0.2</v>
      </c>
      <c r="J22">
        <f t="shared" si="0"/>
        <v>2.2000000000000002</v>
      </c>
      <c r="K22">
        <f t="shared" si="1"/>
        <v>1</v>
      </c>
      <c r="L22">
        <f t="shared" si="2"/>
        <v>1.2</v>
      </c>
    </row>
    <row r="23" spans="1:12" x14ac:dyDescent="0.2">
      <c r="A23" s="47" t="s">
        <v>94</v>
      </c>
      <c r="B23">
        <v>0.4</v>
      </c>
      <c r="C23">
        <v>0</v>
      </c>
      <c r="D23">
        <v>0.1</v>
      </c>
      <c r="E23">
        <v>0.1</v>
      </c>
      <c r="F23">
        <v>0.1</v>
      </c>
      <c r="G23">
        <v>0.15</v>
      </c>
      <c r="H23">
        <v>0.1</v>
      </c>
      <c r="I23">
        <v>0.05</v>
      </c>
      <c r="J23">
        <f t="shared" si="0"/>
        <v>1</v>
      </c>
      <c r="K23">
        <f t="shared" si="1"/>
        <v>0.7</v>
      </c>
      <c r="L23">
        <f t="shared" si="2"/>
        <v>0.3</v>
      </c>
    </row>
    <row r="24" spans="1:12" x14ac:dyDescent="0.2">
      <c r="A24" s="49" t="s">
        <v>95</v>
      </c>
      <c r="B24">
        <v>0.4</v>
      </c>
      <c r="C24">
        <v>0</v>
      </c>
      <c r="D24">
        <v>0.1</v>
      </c>
      <c r="E24">
        <v>0.1</v>
      </c>
      <c r="F24">
        <v>0.1</v>
      </c>
      <c r="G24">
        <v>0.15</v>
      </c>
      <c r="H24">
        <v>0.1</v>
      </c>
      <c r="I24">
        <v>0.05</v>
      </c>
      <c r="J24">
        <f t="shared" si="0"/>
        <v>1</v>
      </c>
      <c r="K24">
        <f t="shared" si="1"/>
        <v>0.7</v>
      </c>
      <c r="L24">
        <f t="shared" si="2"/>
        <v>0.3</v>
      </c>
    </row>
    <row r="25" spans="1:12" x14ac:dyDescent="0.2">
      <c r="A25" s="49" t="s">
        <v>96</v>
      </c>
      <c r="B25">
        <v>0.4</v>
      </c>
      <c r="C25">
        <v>0</v>
      </c>
      <c r="D25">
        <v>0.1</v>
      </c>
      <c r="E25">
        <v>0.1</v>
      </c>
      <c r="F25">
        <v>0.1</v>
      </c>
      <c r="G25">
        <v>0.15</v>
      </c>
      <c r="H25">
        <v>0.1</v>
      </c>
      <c r="I25">
        <v>0.05</v>
      </c>
      <c r="J25">
        <f t="shared" si="0"/>
        <v>1</v>
      </c>
      <c r="K25">
        <f t="shared" si="1"/>
        <v>0.7</v>
      </c>
      <c r="L25">
        <f t="shared" si="2"/>
        <v>0.3</v>
      </c>
    </row>
    <row r="26" spans="1:12" x14ac:dyDescent="0.2">
      <c r="A26" s="49" t="s">
        <v>97</v>
      </c>
      <c r="B26">
        <v>0.4</v>
      </c>
      <c r="C26">
        <v>0</v>
      </c>
      <c r="D26">
        <v>0.1</v>
      </c>
      <c r="E26">
        <v>0.1</v>
      </c>
      <c r="F26">
        <v>0.1</v>
      </c>
      <c r="G26">
        <v>0.15</v>
      </c>
      <c r="H26">
        <v>0.1</v>
      </c>
      <c r="I26">
        <v>0.05</v>
      </c>
      <c r="J26">
        <f t="shared" si="0"/>
        <v>1</v>
      </c>
      <c r="K26">
        <f t="shared" si="1"/>
        <v>0.7</v>
      </c>
      <c r="L26">
        <f t="shared" si="2"/>
        <v>0.3</v>
      </c>
    </row>
    <row r="27" spans="1:12" x14ac:dyDescent="0.2">
      <c r="A27" s="49" t="s">
        <v>98</v>
      </c>
      <c r="B27">
        <v>0.4</v>
      </c>
      <c r="C27">
        <v>0</v>
      </c>
      <c r="D27">
        <v>0.1</v>
      </c>
      <c r="E27">
        <v>0.1</v>
      </c>
      <c r="F27">
        <v>0.1</v>
      </c>
      <c r="G27">
        <v>0.15</v>
      </c>
      <c r="H27">
        <v>0.1</v>
      </c>
      <c r="I27">
        <v>0.05</v>
      </c>
      <c r="J27">
        <f t="shared" si="0"/>
        <v>1</v>
      </c>
      <c r="K27">
        <f t="shared" si="1"/>
        <v>0.7</v>
      </c>
      <c r="L27">
        <f t="shared" si="2"/>
        <v>0.3</v>
      </c>
    </row>
    <row r="28" spans="1:12" x14ac:dyDescent="0.2">
      <c r="A28" s="49" t="s">
        <v>99</v>
      </c>
      <c r="B28">
        <v>0.4</v>
      </c>
      <c r="C28">
        <v>0</v>
      </c>
      <c r="D28">
        <v>0.1</v>
      </c>
      <c r="E28">
        <v>0.1</v>
      </c>
      <c r="F28">
        <v>0.1</v>
      </c>
      <c r="G28">
        <v>0.15</v>
      </c>
      <c r="H28">
        <v>0.1</v>
      </c>
      <c r="I28">
        <v>0.05</v>
      </c>
      <c r="J28">
        <f t="shared" si="0"/>
        <v>1</v>
      </c>
      <c r="K28">
        <f t="shared" si="1"/>
        <v>0.7</v>
      </c>
      <c r="L28">
        <f t="shared" si="2"/>
        <v>0.3</v>
      </c>
    </row>
    <row r="29" spans="1:12" x14ac:dyDescent="0.2">
      <c r="A29" s="49" t="s">
        <v>100</v>
      </c>
      <c r="B29">
        <v>0.4</v>
      </c>
      <c r="C29">
        <v>0</v>
      </c>
      <c r="D29">
        <v>0.1</v>
      </c>
      <c r="E29">
        <v>0.1</v>
      </c>
      <c r="F29">
        <v>0.1</v>
      </c>
      <c r="G29">
        <v>0.15</v>
      </c>
      <c r="H29">
        <v>0.1</v>
      </c>
      <c r="I29">
        <v>0.05</v>
      </c>
      <c r="J29">
        <f t="shared" si="0"/>
        <v>1</v>
      </c>
      <c r="K29">
        <f t="shared" si="1"/>
        <v>0.7</v>
      </c>
      <c r="L29">
        <f t="shared" si="2"/>
        <v>0.3</v>
      </c>
    </row>
    <row r="30" spans="1:12" x14ac:dyDescent="0.2">
      <c r="A30" s="49" t="s">
        <v>79</v>
      </c>
      <c r="B30">
        <v>0.4</v>
      </c>
      <c r="C30">
        <v>0</v>
      </c>
      <c r="D30">
        <v>0.1</v>
      </c>
      <c r="E30">
        <v>0.1</v>
      </c>
      <c r="F30">
        <v>0.1</v>
      </c>
      <c r="G30">
        <v>0.15</v>
      </c>
      <c r="H30">
        <v>0.1</v>
      </c>
      <c r="I30">
        <v>0.05</v>
      </c>
      <c r="J30">
        <f t="shared" si="0"/>
        <v>1</v>
      </c>
      <c r="K30">
        <f t="shared" si="1"/>
        <v>0.7</v>
      </c>
      <c r="L30">
        <f t="shared" si="2"/>
        <v>0.3</v>
      </c>
    </row>
    <row r="31" spans="1:12" x14ac:dyDescent="0.2">
      <c r="A31" s="49" t="s">
        <v>81</v>
      </c>
      <c r="B31">
        <v>0.4</v>
      </c>
      <c r="C31">
        <v>0</v>
      </c>
      <c r="D31">
        <v>0.1</v>
      </c>
      <c r="E31">
        <v>0.1</v>
      </c>
      <c r="F31">
        <v>0.1</v>
      </c>
      <c r="G31">
        <v>0.15</v>
      </c>
      <c r="H31">
        <v>0.1</v>
      </c>
      <c r="I31">
        <v>0.05</v>
      </c>
      <c r="J31">
        <f t="shared" si="0"/>
        <v>1</v>
      </c>
      <c r="K31">
        <f t="shared" si="1"/>
        <v>0.7</v>
      </c>
      <c r="L31">
        <f t="shared" si="2"/>
        <v>0.3</v>
      </c>
    </row>
    <row r="32" spans="1:12" x14ac:dyDescent="0.2">
      <c r="A32" s="49" t="s">
        <v>101</v>
      </c>
      <c r="B32">
        <v>0.4</v>
      </c>
      <c r="C32">
        <v>0.15</v>
      </c>
      <c r="D32">
        <v>0.15</v>
      </c>
      <c r="E32">
        <v>0.15</v>
      </c>
      <c r="F32">
        <v>0.15</v>
      </c>
      <c r="G32">
        <v>0.6</v>
      </c>
      <c r="H32">
        <v>0.4</v>
      </c>
      <c r="I32">
        <v>0.2</v>
      </c>
      <c r="J32">
        <f t="shared" si="0"/>
        <v>2.2000000000000002</v>
      </c>
      <c r="K32">
        <f t="shared" si="1"/>
        <v>1</v>
      </c>
      <c r="L32">
        <f t="shared" si="2"/>
        <v>1.2</v>
      </c>
    </row>
    <row r="33" spans="1:12" x14ac:dyDescent="0.2">
      <c r="A33" s="49" t="s">
        <v>171</v>
      </c>
      <c r="B33">
        <v>0.4</v>
      </c>
      <c r="C33">
        <v>0</v>
      </c>
      <c r="D33">
        <v>0.1</v>
      </c>
      <c r="E33">
        <v>0.1</v>
      </c>
      <c r="F33">
        <v>0.1</v>
      </c>
      <c r="G33">
        <v>0.15</v>
      </c>
      <c r="H33">
        <v>0.1</v>
      </c>
      <c r="I33">
        <v>0.05</v>
      </c>
      <c r="J33">
        <f t="shared" si="0"/>
        <v>1</v>
      </c>
      <c r="K33">
        <f t="shared" si="1"/>
        <v>0.7</v>
      </c>
      <c r="L33">
        <f t="shared" si="2"/>
        <v>0.3</v>
      </c>
    </row>
    <row r="34" spans="1:12" x14ac:dyDescent="0.2">
      <c r="A34" s="49" t="s">
        <v>204</v>
      </c>
      <c r="B34">
        <v>0.4</v>
      </c>
      <c r="C34">
        <v>0</v>
      </c>
      <c r="D34">
        <v>0.1</v>
      </c>
      <c r="E34">
        <v>0.1</v>
      </c>
      <c r="F34">
        <v>0.1</v>
      </c>
      <c r="G34">
        <v>0.15</v>
      </c>
      <c r="H34">
        <v>0.1</v>
      </c>
      <c r="I34">
        <v>0.05</v>
      </c>
      <c r="J34">
        <f>SUM(B34:I34)</f>
        <v>1</v>
      </c>
      <c r="K34">
        <f>SUM(B34:F34)</f>
        <v>0.7</v>
      </c>
      <c r="L34">
        <f>SUM(G34:I34)</f>
        <v>0.3</v>
      </c>
    </row>
    <row r="35" spans="1:12" x14ac:dyDescent="0.2">
      <c r="A35" s="49" t="s">
        <v>205</v>
      </c>
      <c r="B35">
        <v>0.4</v>
      </c>
      <c r="C35">
        <v>0</v>
      </c>
      <c r="D35">
        <v>0.1</v>
      </c>
      <c r="E35">
        <v>0.1</v>
      </c>
      <c r="F35">
        <v>0.1</v>
      </c>
      <c r="G35">
        <v>0.15</v>
      </c>
      <c r="H35">
        <v>0.1</v>
      </c>
      <c r="I35">
        <v>0.05</v>
      </c>
      <c r="J35">
        <f>SUM(B35:I35)</f>
        <v>1</v>
      </c>
      <c r="K35">
        <f>SUM(B35:F35)</f>
        <v>0.7</v>
      </c>
      <c r="L35">
        <f>SUM(G35:I35)</f>
        <v>0.3</v>
      </c>
    </row>
    <row r="36" spans="1:12" x14ac:dyDescent="0.2">
      <c r="A36" s="49" t="s">
        <v>193</v>
      </c>
      <c r="B36">
        <v>0.4</v>
      </c>
      <c r="C36">
        <v>0.15</v>
      </c>
      <c r="D36">
        <v>0.15</v>
      </c>
      <c r="E36">
        <v>0.15</v>
      </c>
      <c r="F36">
        <v>0.15</v>
      </c>
      <c r="G36">
        <v>0.6</v>
      </c>
      <c r="H36">
        <v>0.4</v>
      </c>
      <c r="I36">
        <v>0.2</v>
      </c>
      <c r="J36">
        <f t="shared" ref="J36" si="3">SUM(B36:I36)</f>
        <v>2.2000000000000002</v>
      </c>
      <c r="K36">
        <f t="shared" ref="K36" si="4">SUM(B36:F36)</f>
        <v>1</v>
      </c>
      <c r="L36">
        <f t="shared" ref="L36" si="5">SUM(G36:I36)</f>
        <v>1.2</v>
      </c>
    </row>
    <row r="37" spans="1:12" x14ac:dyDescent="0.2">
      <c r="A37" s="49" t="s">
        <v>194</v>
      </c>
      <c r="B37">
        <v>0.4</v>
      </c>
      <c r="C37">
        <v>0.15</v>
      </c>
      <c r="D37">
        <v>0.15</v>
      </c>
      <c r="E37">
        <v>0.15</v>
      </c>
      <c r="F37">
        <v>0.15</v>
      </c>
      <c r="G37">
        <v>0.6</v>
      </c>
      <c r="H37">
        <v>0.4</v>
      </c>
      <c r="I37">
        <v>0.2</v>
      </c>
      <c r="J37">
        <f t="shared" ref="J37:J38" si="6">SUM(B37:I37)</f>
        <v>2.2000000000000002</v>
      </c>
      <c r="K37">
        <f t="shared" ref="K37:K38" si="7">SUM(B37:F37)</f>
        <v>1</v>
      </c>
      <c r="L37">
        <f t="shared" ref="L37:L38" si="8">SUM(G37:I37)</f>
        <v>1.2</v>
      </c>
    </row>
    <row r="38" spans="1:12" x14ac:dyDescent="0.2">
      <c r="A38" s="49" t="s">
        <v>192</v>
      </c>
      <c r="B38">
        <v>0.4</v>
      </c>
      <c r="C38">
        <v>0</v>
      </c>
      <c r="D38">
        <v>0.1</v>
      </c>
      <c r="E38">
        <v>0.1</v>
      </c>
      <c r="F38">
        <v>0.1</v>
      </c>
      <c r="G38">
        <v>0.15</v>
      </c>
      <c r="H38">
        <v>0.1</v>
      </c>
      <c r="I38">
        <v>0.05</v>
      </c>
      <c r="J38">
        <f t="shared" si="6"/>
        <v>1</v>
      </c>
      <c r="K38">
        <f t="shared" si="7"/>
        <v>0.7</v>
      </c>
      <c r="L38">
        <f t="shared" si="8"/>
        <v>0.3</v>
      </c>
    </row>
    <row r="39" spans="1:12" x14ac:dyDescent="0.2">
      <c r="A39" s="49" t="s">
        <v>207</v>
      </c>
      <c r="B39">
        <v>0.4</v>
      </c>
      <c r="C39">
        <v>0</v>
      </c>
      <c r="D39">
        <v>0.1</v>
      </c>
      <c r="E39">
        <v>0.1</v>
      </c>
      <c r="F39">
        <v>0.1</v>
      </c>
      <c r="G39">
        <v>0.15</v>
      </c>
      <c r="H39">
        <v>0.1</v>
      </c>
      <c r="I39">
        <v>0.05</v>
      </c>
      <c r="J39">
        <f t="shared" ref="J39" si="9">SUM(B39:I39)</f>
        <v>1</v>
      </c>
      <c r="K39">
        <f t="shared" ref="K39" si="10">SUM(B39:F39)</f>
        <v>0.7</v>
      </c>
      <c r="L39">
        <f t="shared" ref="L39" si="11">SUM(G39:I39)</f>
        <v>0.3</v>
      </c>
    </row>
  </sheetData>
  <autoFilter ref="A1:I32" xr:uid="{00000000-0009-0000-0000-000008000000}"/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/>
  <dimension ref="A1:C39"/>
  <sheetViews>
    <sheetView topLeftCell="A31" workbookViewId="0">
      <selection activeCell="C51" sqref="C51"/>
    </sheetView>
  </sheetViews>
  <sheetFormatPr baseColWidth="10" defaultRowHeight="15" x14ac:dyDescent="0.2"/>
  <cols>
    <col min="1" max="1" width="17.6640625" customWidth="1"/>
    <col min="2" max="2" width="22.1640625" customWidth="1"/>
    <col min="3" max="3" width="69" customWidth="1"/>
  </cols>
  <sheetData>
    <row r="1" spans="1:3" x14ac:dyDescent="0.2">
      <c r="A1" s="53" t="s">
        <v>69</v>
      </c>
      <c r="B1" s="269" t="s">
        <v>180</v>
      </c>
      <c r="C1" s="270" t="s">
        <v>182</v>
      </c>
    </row>
    <row r="2" spans="1:3" x14ac:dyDescent="0.2">
      <c r="A2" s="56" t="s">
        <v>0</v>
      </c>
      <c r="B2">
        <v>0.1</v>
      </c>
    </row>
    <row r="3" spans="1:3" x14ac:dyDescent="0.2">
      <c r="A3" s="56" t="s">
        <v>74</v>
      </c>
      <c r="B3">
        <v>0.1</v>
      </c>
    </row>
    <row r="4" spans="1:3" x14ac:dyDescent="0.2">
      <c r="A4" s="56" t="s">
        <v>76</v>
      </c>
      <c r="B4">
        <v>0.1</v>
      </c>
    </row>
    <row r="5" spans="1:3" x14ac:dyDescent="0.2">
      <c r="A5" s="56" t="s">
        <v>78</v>
      </c>
      <c r="B5">
        <v>0.1</v>
      </c>
    </row>
    <row r="6" spans="1:3" x14ac:dyDescent="0.2">
      <c r="A6" s="56" t="s">
        <v>80</v>
      </c>
      <c r="B6">
        <v>0.1</v>
      </c>
    </row>
    <row r="7" spans="1:3" x14ac:dyDescent="0.2">
      <c r="A7" s="56" t="s">
        <v>82</v>
      </c>
      <c r="B7">
        <v>0.1</v>
      </c>
    </row>
    <row r="8" spans="1:3" x14ac:dyDescent="0.2">
      <c r="A8" s="56" t="s">
        <v>83</v>
      </c>
      <c r="B8">
        <v>0.1</v>
      </c>
    </row>
    <row r="9" spans="1:3" x14ac:dyDescent="0.2">
      <c r="A9" s="56" t="s">
        <v>84</v>
      </c>
      <c r="B9">
        <v>0.1</v>
      </c>
    </row>
    <row r="10" spans="1:3" x14ac:dyDescent="0.2">
      <c r="A10" s="56" t="s">
        <v>85</v>
      </c>
      <c r="B10">
        <v>0.1</v>
      </c>
    </row>
    <row r="11" spans="1:3" x14ac:dyDescent="0.2">
      <c r="A11" s="56" t="s">
        <v>86</v>
      </c>
      <c r="B11">
        <v>0.1</v>
      </c>
    </row>
    <row r="12" spans="1:3" x14ac:dyDescent="0.2">
      <c r="A12" s="56" t="s">
        <v>87</v>
      </c>
      <c r="B12">
        <v>0.1</v>
      </c>
    </row>
    <row r="13" spans="1:3" x14ac:dyDescent="0.2">
      <c r="A13" s="56" t="s">
        <v>88</v>
      </c>
      <c r="B13">
        <v>0.1</v>
      </c>
    </row>
    <row r="14" spans="1:3" x14ac:dyDescent="0.2">
      <c r="A14" s="56" t="s">
        <v>89</v>
      </c>
      <c r="B14">
        <v>0.1</v>
      </c>
    </row>
    <row r="15" spans="1:3" x14ac:dyDescent="0.2">
      <c r="A15" s="56" t="s">
        <v>90</v>
      </c>
      <c r="B15">
        <v>0.1</v>
      </c>
    </row>
    <row r="16" spans="1:3" x14ac:dyDescent="0.2">
      <c r="A16" s="56" t="s">
        <v>72</v>
      </c>
      <c r="B16">
        <v>0.1</v>
      </c>
    </row>
    <row r="17" spans="1:3" x14ac:dyDescent="0.2">
      <c r="A17" s="56" t="s">
        <v>73</v>
      </c>
      <c r="B17">
        <v>0.1</v>
      </c>
    </row>
    <row r="18" spans="1:3" x14ac:dyDescent="0.2">
      <c r="A18" s="56" t="s">
        <v>75</v>
      </c>
      <c r="B18">
        <v>0.1</v>
      </c>
    </row>
    <row r="19" spans="1:3" x14ac:dyDescent="0.2">
      <c r="A19" s="56" t="s">
        <v>77</v>
      </c>
      <c r="B19">
        <v>0.1</v>
      </c>
    </row>
    <row r="20" spans="1:3" x14ac:dyDescent="0.2">
      <c r="A20" s="56" t="s">
        <v>91</v>
      </c>
      <c r="B20">
        <v>0.1</v>
      </c>
    </row>
    <row r="21" spans="1:3" x14ac:dyDescent="0.2">
      <c r="A21" s="56" t="s">
        <v>92</v>
      </c>
      <c r="B21">
        <v>0.1</v>
      </c>
    </row>
    <row r="22" spans="1:3" x14ac:dyDescent="0.2">
      <c r="A22" s="56" t="s">
        <v>93</v>
      </c>
      <c r="B22">
        <v>0.1</v>
      </c>
    </row>
    <row r="23" spans="1:3" x14ac:dyDescent="0.2">
      <c r="A23" s="56" t="s">
        <v>94</v>
      </c>
      <c r="B23">
        <v>0.2</v>
      </c>
      <c r="C23">
        <v>0.1</v>
      </c>
    </row>
    <row r="24" spans="1:3" x14ac:dyDescent="0.2">
      <c r="A24" s="57" t="s">
        <v>95</v>
      </c>
      <c r="B24">
        <v>0.2</v>
      </c>
      <c r="C24">
        <v>0.1</v>
      </c>
    </row>
    <row r="25" spans="1:3" x14ac:dyDescent="0.2">
      <c r="A25" s="57" t="s">
        <v>96</v>
      </c>
      <c r="B25">
        <v>0.2</v>
      </c>
      <c r="C25">
        <v>0.1</v>
      </c>
    </row>
    <row r="26" spans="1:3" x14ac:dyDescent="0.2">
      <c r="A26" s="57" t="s">
        <v>97</v>
      </c>
      <c r="B26">
        <v>0.2</v>
      </c>
      <c r="C26">
        <v>0.1</v>
      </c>
    </row>
    <row r="27" spans="1:3" x14ac:dyDescent="0.2">
      <c r="A27" s="57" t="s">
        <v>98</v>
      </c>
      <c r="B27">
        <v>0.2</v>
      </c>
      <c r="C27">
        <v>0.1</v>
      </c>
    </row>
    <row r="28" spans="1:3" x14ac:dyDescent="0.2">
      <c r="A28" s="57" t="s">
        <v>99</v>
      </c>
      <c r="B28">
        <v>0.2</v>
      </c>
      <c r="C28">
        <v>0.1</v>
      </c>
    </row>
    <row r="29" spans="1:3" x14ac:dyDescent="0.2">
      <c r="A29" s="57" t="s">
        <v>100</v>
      </c>
      <c r="B29">
        <v>0.2</v>
      </c>
      <c r="C29">
        <v>0.1</v>
      </c>
    </row>
    <row r="30" spans="1:3" x14ac:dyDescent="0.2">
      <c r="A30" s="57" t="s">
        <v>79</v>
      </c>
      <c r="B30">
        <v>0.2</v>
      </c>
      <c r="C30">
        <v>0.1</v>
      </c>
    </row>
    <row r="31" spans="1:3" x14ac:dyDescent="0.2">
      <c r="A31" s="57" t="s">
        <v>81</v>
      </c>
      <c r="B31">
        <v>0.2</v>
      </c>
      <c r="C31">
        <v>0.1</v>
      </c>
    </row>
    <row r="32" spans="1:3" x14ac:dyDescent="0.2">
      <c r="A32" s="114" t="s">
        <v>101</v>
      </c>
      <c r="B32">
        <v>0.1</v>
      </c>
    </row>
    <row r="33" spans="1:3" x14ac:dyDescent="0.2">
      <c r="A33" s="267" t="s">
        <v>171</v>
      </c>
      <c r="B33">
        <v>0.2</v>
      </c>
    </row>
    <row r="34" spans="1:3" x14ac:dyDescent="0.2">
      <c r="A34" s="268" t="s">
        <v>204</v>
      </c>
      <c r="B34">
        <v>0.2</v>
      </c>
      <c r="C34">
        <v>0.1</v>
      </c>
    </row>
    <row r="35" spans="1:3" x14ac:dyDescent="0.2">
      <c r="A35" s="268" t="s">
        <v>205</v>
      </c>
      <c r="B35">
        <v>0.2</v>
      </c>
      <c r="C35">
        <v>0.1</v>
      </c>
    </row>
    <row r="36" spans="1:3" x14ac:dyDescent="0.2">
      <c r="A36" s="57" t="s">
        <v>193</v>
      </c>
      <c r="B36">
        <v>0.1</v>
      </c>
    </row>
    <row r="37" spans="1:3" x14ac:dyDescent="0.2">
      <c r="A37" s="57" t="s">
        <v>194</v>
      </c>
      <c r="B37">
        <v>0.1</v>
      </c>
    </row>
    <row r="38" spans="1:3" x14ac:dyDescent="0.2">
      <c r="A38" s="57" t="s">
        <v>192</v>
      </c>
      <c r="B38">
        <v>0.2</v>
      </c>
      <c r="C38">
        <v>0.1</v>
      </c>
    </row>
    <row r="39" spans="1:3" x14ac:dyDescent="0.2">
      <c r="A39" s="268" t="s">
        <v>207</v>
      </c>
      <c r="B39">
        <v>0.2</v>
      </c>
      <c r="C39">
        <v>0.1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01B3-D456-BC45-8F8B-FE805DA32416}">
  <sheetPr codeName="Tabelle4">
    <tabColor theme="5"/>
  </sheetPr>
  <dimension ref="A1:T134"/>
  <sheetViews>
    <sheetView topLeftCell="F85" zoomScale="130" zoomScaleNormal="130" workbookViewId="0">
      <selection activeCell="S128" sqref="S128"/>
    </sheetView>
  </sheetViews>
  <sheetFormatPr baseColWidth="10" defaultRowHeight="15" x14ac:dyDescent="0.2"/>
  <cols>
    <col min="6" max="6" width="24.33203125" customWidth="1"/>
    <col min="12" max="12" width="11.83203125" bestFit="1" customWidth="1"/>
  </cols>
  <sheetData>
    <row r="1" spans="1:19" x14ac:dyDescent="0.2">
      <c r="L1" s="275" t="s">
        <v>209</v>
      </c>
      <c r="M1" s="275"/>
      <c r="N1" s="275" t="s">
        <v>210</v>
      </c>
    </row>
    <row r="2" spans="1:19" ht="16" x14ac:dyDescent="0.2">
      <c r="A2" s="276" t="s">
        <v>211</v>
      </c>
      <c r="B2" s="276"/>
      <c r="C2" s="276" t="s">
        <v>212</v>
      </c>
      <c r="D2" s="276" t="s">
        <v>213</v>
      </c>
      <c r="E2" s="276" t="s">
        <v>214</v>
      </c>
      <c r="F2" s="276" t="s">
        <v>19</v>
      </c>
      <c r="G2" s="276"/>
      <c r="I2" s="276" t="s">
        <v>215</v>
      </c>
      <c r="J2" s="276" t="s">
        <v>26</v>
      </c>
      <c r="K2" s="276" t="s">
        <v>216</v>
      </c>
      <c r="L2" s="277" t="s">
        <v>217</v>
      </c>
      <c r="M2" s="277" t="s">
        <v>218</v>
      </c>
      <c r="N2" s="277" t="s">
        <v>219</v>
      </c>
    </row>
    <row r="3" spans="1:19" ht="18" x14ac:dyDescent="0.25">
      <c r="A3" s="278" t="s">
        <v>220</v>
      </c>
      <c r="B3" s="278" t="s">
        <v>221</v>
      </c>
      <c r="C3" s="278" t="s">
        <v>222</v>
      </c>
      <c r="D3" s="278" t="s">
        <v>223</v>
      </c>
      <c r="E3" s="278" t="s">
        <v>224</v>
      </c>
      <c r="F3" s="278" t="s">
        <v>225</v>
      </c>
      <c r="G3" s="279" t="s">
        <v>226</v>
      </c>
      <c r="Q3" s="278"/>
      <c r="R3" s="278"/>
      <c r="S3" s="278"/>
    </row>
    <row r="4" spans="1:19" ht="16" x14ac:dyDescent="0.2">
      <c r="A4" s="289" t="s">
        <v>227</v>
      </c>
      <c r="B4" s="289" t="s">
        <v>228</v>
      </c>
      <c r="C4" s="289">
        <v>0.56926512029999998</v>
      </c>
      <c r="D4" s="289">
        <v>3.3341170000000003E-2</v>
      </c>
      <c r="E4" s="289">
        <v>3.7545781100000002E-2</v>
      </c>
      <c r="F4" s="289">
        <v>-3.7719685099999997E-2</v>
      </c>
      <c r="G4" s="281">
        <v>0.60243238629999996</v>
      </c>
      <c r="I4">
        <f>C4</f>
        <v>0.56926512029999998</v>
      </c>
      <c r="J4">
        <f>E4</f>
        <v>3.7545781100000002E-2</v>
      </c>
      <c r="K4">
        <f>D4+F4</f>
        <v>-4.3785150999999939E-3</v>
      </c>
      <c r="L4">
        <f>I4*1.1</f>
        <v>0.62619163233000008</v>
      </c>
      <c r="M4">
        <f>J4*1.1</f>
        <v>4.1300359210000005E-2</v>
      </c>
      <c r="N4">
        <f>K4*1.1</f>
        <v>-4.816366609999994E-3</v>
      </c>
      <c r="Q4" s="280"/>
      <c r="R4" s="280"/>
      <c r="S4" s="280"/>
    </row>
    <row r="5" spans="1:19" ht="16" x14ac:dyDescent="0.2">
      <c r="A5" s="289" t="s">
        <v>229</v>
      </c>
      <c r="B5" s="289" t="s">
        <v>230</v>
      </c>
      <c r="C5" s="282">
        <v>7.7760036712999996E-10</v>
      </c>
      <c r="D5" s="282">
        <v>2.3686677733999998E-13</v>
      </c>
      <c r="E5" s="282">
        <v>1.7570761772E-12</v>
      </c>
      <c r="F5" s="282">
        <v>-9.8791743936000003E-11</v>
      </c>
      <c r="G5" s="293">
        <v>6.8080256614999996E-10</v>
      </c>
      <c r="I5">
        <f t="shared" ref="I5:I17" si="0">C5</f>
        <v>7.7760036712999996E-10</v>
      </c>
      <c r="J5">
        <f t="shared" ref="J5:J17" si="1">E5</f>
        <v>1.7570761772E-12</v>
      </c>
      <c r="K5">
        <f t="shared" ref="K5:K17" si="2">D5+F5</f>
        <v>-9.8554877158660004E-11</v>
      </c>
      <c r="L5">
        <f t="shared" ref="L5:N61" si="3">I5*1.1</f>
        <v>8.5536040384300002E-10</v>
      </c>
      <c r="M5">
        <f t="shared" si="3"/>
        <v>1.9327837949200003E-12</v>
      </c>
      <c r="N5">
        <f t="shared" si="3"/>
        <v>-1.0841036487452601E-10</v>
      </c>
      <c r="Q5" s="280"/>
      <c r="R5" s="280"/>
      <c r="S5" s="282"/>
    </row>
    <row r="6" spans="1:19" ht="16" x14ac:dyDescent="0.2">
      <c r="A6" s="289" t="s">
        <v>231</v>
      </c>
      <c r="B6" s="289" t="s">
        <v>232</v>
      </c>
      <c r="C6" s="282">
        <v>1.004235023E-4</v>
      </c>
      <c r="D6" s="282">
        <v>1.0339399265999999E-5</v>
      </c>
      <c r="E6" s="282">
        <v>1.3520599482E-5</v>
      </c>
      <c r="F6" s="282">
        <v>-5.8893055269000001E-6</v>
      </c>
      <c r="G6" s="293">
        <v>1.1839419552E-4</v>
      </c>
      <c r="I6">
        <f t="shared" si="0"/>
        <v>1.004235023E-4</v>
      </c>
      <c r="J6">
        <f t="shared" si="1"/>
        <v>1.3520599482E-5</v>
      </c>
      <c r="K6">
        <f t="shared" si="2"/>
        <v>4.4500937390999992E-6</v>
      </c>
      <c r="L6">
        <f t="shared" si="3"/>
        <v>1.1046585253000001E-4</v>
      </c>
      <c r="M6">
        <f t="shared" si="3"/>
        <v>1.4872659430200001E-5</v>
      </c>
      <c r="N6">
        <f t="shared" si="3"/>
        <v>4.8951031130099998E-6</v>
      </c>
      <c r="Q6" s="280"/>
      <c r="R6" s="280"/>
      <c r="S6" s="282"/>
    </row>
    <row r="7" spans="1:19" ht="16" x14ac:dyDescent="0.2">
      <c r="A7" s="289" t="s">
        <v>233</v>
      </c>
      <c r="B7" s="289" t="s">
        <v>234</v>
      </c>
      <c r="C7" s="282">
        <v>9.7537286195999997E-4</v>
      </c>
      <c r="D7" s="282">
        <v>7.6259688195E-5</v>
      </c>
      <c r="E7" s="282">
        <v>4.3283482667000001E-5</v>
      </c>
      <c r="F7" s="282">
        <v>-5.8897276419000003E-5</v>
      </c>
      <c r="G7" s="293">
        <v>1.0360187564E-3</v>
      </c>
      <c r="I7">
        <f t="shared" si="0"/>
        <v>9.7537286195999997E-4</v>
      </c>
      <c r="J7">
        <f t="shared" si="1"/>
        <v>4.3283482667000001E-5</v>
      </c>
      <c r="K7">
        <f t="shared" si="2"/>
        <v>1.7362411775999997E-5</v>
      </c>
      <c r="L7">
        <f t="shared" si="3"/>
        <v>1.0729101481560001E-3</v>
      </c>
      <c r="M7">
        <f t="shared" si="3"/>
        <v>4.7611830933700002E-5</v>
      </c>
      <c r="N7">
        <f t="shared" si="3"/>
        <v>1.9098652953599998E-5</v>
      </c>
      <c r="Q7" s="280"/>
      <c r="R7" s="280"/>
      <c r="S7" s="282"/>
    </row>
    <row r="8" spans="1:19" ht="16" x14ac:dyDescent="0.2">
      <c r="A8" s="289" t="s">
        <v>235</v>
      </c>
      <c r="B8" s="289" t="s">
        <v>236</v>
      </c>
      <c r="C8" s="282">
        <v>1.2970217689E-4</v>
      </c>
      <c r="D8" s="282">
        <v>1.7890006773000001E-5</v>
      </c>
      <c r="E8" s="282">
        <v>3.5758503530000002E-6</v>
      </c>
      <c r="F8" s="282">
        <v>-8.3634462837999994E-6</v>
      </c>
      <c r="G8" s="293">
        <v>1.4280458773000001E-4</v>
      </c>
      <c r="I8">
        <f t="shared" si="0"/>
        <v>1.2970217689E-4</v>
      </c>
      <c r="J8">
        <f t="shared" si="1"/>
        <v>3.5758503530000002E-6</v>
      </c>
      <c r="K8">
        <f t="shared" si="2"/>
        <v>9.5265604892000011E-6</v>
      </c>
      <c r="L8">
        <f t="shared" si="3"/>
        <v>1.4267239457900003E-4</v>
      </c>
      <c r="M8">
        <f t="shared" si="3"/>
        <v>3.9334353883000008E-6</v>
      </c>
      <c r="N8">
        <f t="shared" si="3"/>
        <v>1.0479216538120003E-5</v>
      </c>
      <c r="Q8" s="280"/>
      <c r="R8" s="280"/>
      <c r="S8" s="282"/>
    </row>
    <row r="9" spans="1:19" ht="16" x14ac:dyDescent="0.2">
      <c r="A9" s="289" t="s">
        <v>237</v>
      </c>
      <c r="B9" s="289" t="s">
        <v>238</v>
      </c>
      <c r="C9" s="289">
        <v>5.1734875990999996</v>
      </c>
      <c r="D9" s="289">
        <v>0.20259617969999999</v>
      </c>
      <c r="E9" s="289">
        <v>0.63605291829999999</v>
      </c>
      <c r="F9" s="289">
        <v>-0.6122609363</v>
      </c>
      <c r="G9" s="281">
        <v>5.3998757607999996</v>
      </c>
      <c r="I9">
        <f t="shared" si="0"/>
        <v>5.1734875990999996</v>
      </c>
      <c r="J9">
        <f t="shared" si="1"/>
        <v>0.63605291829999999</v>
      </c>
      <c r="K9">
        <f t="shared" si="2"/>
        <v>-0.40966475660000001</v>
      </c>
      <c r="L9">
        <f t="shared" si="3"/>
        <v>5.6908363590100004</v>
      </c>
      <c r="M9">
        <f t="shared" si="3"/>
        <v>0.69965821013000007</v>
      </c>
      <c r="N9">
        <f t="shared" si="3"/>
        <v>-0.45063123226000007</v>
      </c>
      <c r="Q9" s="280"/>
      <c r="R9" s="280"/>
      <c r="S9" s="280"/>
    </row>
    <row r="10" spans="1:19" ht="16" x14ac:dyDescent="0.2">
      <c r="A10" s="289" t="s">
        <v>239</v>
      </c>
      <c r="B10" s="289" t="s">
        <v>238</v>
      </c>
      <c r="C10" s="289">
        <v>4.6054642770000003</v>
      </c>
      <c r="D10" s="289">
        <v>0.18925709630000001</v>
      </c>
      <c r="E10" s="289">
        <v>0.63864512799999995</v>
      </c>
      <c r="F10" s="289">
        <v>-0.53675604229999996</v>
      </c>
      <c r="G10" s="281">
        <v>4.8966104588999997</v>
      </c>
      <c r="I10">
        <f t="shared" si="0"/>
        <v>4.6054642770000003</v>
      </c>
      <c r="J10">
        <f t="shared" si="1"/>
        <v>0.63864512799999995</v>
      </c>
      <c r="K10">
        <f t="shared" si="2"/>
        <v>-0.34749894599999998</v>
      </c>
      <c r="L10">
        <f t="shared" si="3"/>
        <v>5.0660107047000009</v>
      </c>
      <c r="M10">
        <f t="shared" si="3"/>
        <v>0.7025096408</v>
      </c>
      <c r="N10">
        <f t="shared" si="3"/>
        <v>-0.38224884060000003</v>
      </c>
      <c r="Q10" s="280"/>
      <c r="R10" s="280"/>
      <c r="S10" s="280"/>
    </row>
    <row r="11" spans="1:19" ht="16" x14ac:dyDescent="0.2">
      <c r="A11" s="289" t="s">
        <v>240</v>
      </c>
      <c r="B11" s="289" t="s">
        <v>238</v>
      </c>
      <c r="C11" s="289">
        <v>0.27895038849999998</v>
      </c>
      <c r="D11" s="289">
        <v>0</v>
      </c>
      <c r="E11" s="289">
        <v>0.27895038849999998</v>
      </c>
      <c r="F11" s="289">
        <v>0</v>
      </c>
      <c r="G11" s="281">
        <v>0.55790077699999996</v>
      </c>
      <c r="I11">
        <f t="shared" si="0"/>
        <v>0.27895038849999998</v>
      </c>
      <c r="J11">
        <f t="shared" si="1"/>
        <v>0.27895038849999998</v>
      </c>
      <c r="K11">
        <f t="shared" si="2"/>
        <v>0</v>
      </c>
      <c r="L11">
        <f t="shared" si="3"/>
        <v>0.30684542734999998</v>
      </c>
      <c r="M11">
        <f t="shared" si="3"/>
        <v>0.30684542734999998</v>
      </c>
      <c r="N11">
        <f t="shared" si="3"/>
        <v>0</v>
      </c>
      <c r="Q11" s="280"/>
      <c r="R11" s="280"/>
      <c r="S11" s="280"/>
    </row>
    <row r="12" spans="1:19" ht="16" x14ac:dyDescent="0.2">
      <c r="A12" s="289" t="s">
        <v>241</v>
      </c>
      <c r="B12" s="289" t="s">
        <v>238</v>
      </c>
      <c r="C12" s="289">
        <v>4.3265138885000001</v>
      </c>
      <c r="D12" s="289">
        <v>0.18925709630000001</v>
      </c>
      <c r="E12" s="289">
        <v>0.35969473950000003</v>
      </c>
      <c r="F12" s="289">
        <v>-0.53675604229999996</v>
      </c>
      <c r="G12" s="281">
        <v>4.3387096819000002</v>
      </c>
      <c r="I12">
        <f t="shared" si="0"/>
        <v>4.3265138885000001</v>
      </c>
      <c r="J12">
        <f t="shared" si="1"/>
        <v>0.35969473950000003</v>
      </c>
      <c r="K12">
        <f t="shared" si="2"/>
        <v>-0.34749894599999998</v>
      </c>
      <c r="L12">
        <f t="shared" si="3"/>
        <v>4.7591652773500002</v>
      </c>
      <c r="M12">
        <f t="shared" si="3"/>
        <v>0.39566421345000008</v>
      </c>
      <c r="N12">
        <f t="shared" si="3"/>
        <v>-0.38224884060000003</v>
      </c>
      <c r="Q12" s="280"/>
      <c r="R12" s="280"/>
      <c r="S12" s="280"/>
    </row>
    <row r="13" spans="1:19" ht="16" x14ac:dyDescent="0.2">
      <c r="A13" s="289" t="s">
        <v>242</v>
      </c>
      <c r="B13" s="289" t="s">
        <v>238</v>
      </c>
      <c r="C13" s="289">
        <v>0.56802332219999996</v>
      </c>
      <c r="D13" s="289">
        <v>1.33390834E-2</v>
      </c>
      <c r="E13" s="282">
        <v>-2.5922097084999998E-3</v>
      </c>
      <c r="F13" s="289">
        <v>-7.5504894000000003E-2</v>
      </c>
      <c r="G13" s="281">
        <v>0.50326530189999996</v>
      </c>
      <c r="I13">
        <f t="shared" si="0"/>
        <v>0.56802332219999996</v>
      </c>
      <c r="J13">
        <f t="shared" si="1"/>
        <v>-2.5922097084999998E-3</v>
      </c>
      <c r="K13">
        <f t="shared" si="2"/>
        <v>-6.2165810600000003E-2</v>
      </c>
      <c r="L13">
        <f t="shared" si="3"/>
        <v>0.62482565442000004</v>
      </c>
      <c r="M13">
        <f t="shared" si="3"/>
        <v>-2.8514306793500001E-3</v>
      </c>
      <c r="N13">
        <f t="shared" si="3"/>
        <v>-6.8382391660000014E-2</v>
      </c>
      <c r="Q13" s="280"/>
      <c r="R13" s="280"/>
      <c r="S13" s="280"/>
    </row>
    <row r="14" spans="1:19" ht="16" x14ac:dyDescent="0.2">
      <c r="A14" s="289" t="s">
        <v>243</v>
      </c>
      <c r="B14" s="289" t="s">
        <v>238</v>
      </c>
      <c r="C14" s="289">
        <v>0</v>
      </c>
      <c r="D14" s="289">
        <v>0</v>
      </c>
      <c r="E14" s="289">
        <v>0</v>
      </c>
      <c r="F14" s="289">
        <v>0</v>
      </c>
      <c r="G14" s="281">
        <v>0</v>
      </c>
      <c r="I14">
        <f t="shared" si="0"/>
        <v>0</v>
      </c>
      <c r="J14">
        <f t="shared" si="1"/>
        <v>0</v>
      </c>
      <c r="K14">
        <f t="shared" si="2"/>
        <v>0</v>
      </c>
      <c r="L14">
        <f t="shared" si="3"/>
        <v>0</v>
      </c>
      <c r="M14">
        <f t="shared" si="3"/>
        <v>0</v>
      </c>
      <c r="N14">
        <f t="shared" si="3"/>
        <v>0</v>
      </c>
      <c r="Q14" s="280"/>
      <c r="R14" s="280"/>
      <c r="S14" s="280"/>
    </row>
    <row r="15" spans="1:19" ht="16" x14ac:dyDescent="0.2">
      <c r="A15" s="289" t="s">
        <v>244</v>
      </c>
      <c r="B15" s="289" t="s">
        <v>238</v>
      </c>
      <c r="C15" s="289">
        <v>0.56802332219999996</v>
      </c>
      <c r="D15" s="289">
        <v>1.33390834E-2</v>
      </c>
      <c r="E15" s="282">
        <v>-2.5922097084999998E-3</v>
      </c>
      <c r="F15" s="289">
        <v>-7.5504894000000003E-2</v>
      </c>
      <c r="G15" s="281">
        <v>0.50326530189999996</v>
      </c>
      <c r="I15">
        <f t="shared" si="0"/>
        <v>0.56802332219999996</v>
      </c>
      <c r="J15">
        <f t="shared" si="1"/>
        <v>-2.5922097084999998E-3</v>
      </c>
      <c r="K15">
        <f t="shared" si="2"/>
        <v>-6.2165810600000003E-2</v>
      </c>
      <c r="L15">
        <f t="shared" si="3"/>
        <v>0.62482565442000004</v>
      </c>
      <c r="M15">
        <f t="shared" si="3"/>
        <v>-2.8514306793500001E-3</v>
      </c>
      <c r="N15">
        <f t="shared" si="3"/>
        <v>-6.8382391660000014E-2</v>
      </c>
      <c r="Q15" s="280"/>
      <c r="R15" s="280"/>
      <c r="S15" s="280"/>
    </row>
    <row r="16" spans="1:19" ht="16" x14ac:dyDescent="0.2">
      <c r="A16" s="289" t="s">
        <v>245</v>
      </c>
      <c r="B16" s="289" t="s">
        <v>246</v>
      </c>
      <c r="C16" s="282">
        <v>7.1499130987999995E-7</v>
      </c>
      <c r="D16" s="282">
        <v>1.6656053576999999E-8</v>
      </c>
      <c r="E16" s="282">
        <v>2.1084878027E-8</v>
      </c>
      <c r="F16" s="282">
        <v>-4.0071803146999999E-9</v>
      </c>
      <c r="G16" s="293">
        <v>7.4872506117000003E-7</v>
      </c>
      <c r="I16">
        <f t="shared" si="0"/>
        <v>7.1499130987999995E-7</v>
      </c>
      <c r="J16">
        <f t="shared" si="1"/>
        <v>2.1084878027E-8</v>
      </c>
      <c r="K16">
        <f t="shared" si="2"/>
        <v>1.26488732623E-8</v>
      </c>
      <c r="L16">
        <f t="shared" si="3"/>
        <v>7.8649044086800004E-7</v>
      </c>
      <c r="M16">
        <f t="shared" si="3"/>
        <v>2.3193365829700001E-8</v>
      </c>
      <c r="N16">
        <f t="shared" si="3"/>
        <v>1.391376058853E-8</v>
      </c>
      <c r="Q16" s="280"/>
      <c r="R16" s="280"/>
      <c r="S16" s="282"/>
    </row>
    <row r="17" spans="1:19" ht="16" x14ac:dyDescent="0.2">
      <c r="A17" s="289" t="s">
        <v>247</v>
      </c>
      <c r="B17" s="289" t="s">
        <v>238</v>
      </c>
      <c r="C17" s="289">
        <v>4.0210167565999999</v>
      </c>
      <c r="D17" s="289">
        <v>0.1834913896</v>
      </c>
      <c r="E17" s="289">
        <v>0.63266038140000003</v>
      </c>
      <c r="F17" s="289">
        <v>-0.43281493370000002</v>
      </c>
      <c r="G17" s="281">
        <v>4.4043535938999998</v>
      </c>
      <c r="I17">
        <f t="shared" si="0"/>
        <v>4.0210167565999999</v>
      </c>
      <c r="J17">
        <f t="shared" si="1"/>
        <v>0.63266038140000003</v>
      </c>
      <c r="K17">
        <f t="shared" si="2"/>
        <v>-0.24932354410000002</v>
      </c>
      <c r="L17">
        <f t="shared" si="3"/>
        <v>4.4231184322599999</v>
      </c>
      <c r="M17">
        <f t="shared" si="3"/>
        <v>0.69592641954000012</v>
      </c>
      <c r="N17">
        <f t="shared" si="3"/>
        <v>-0.27425589851000004</v>
      </c>
      <c r="Q17" s="280"/>
      <c r="R17" s="280"/>
      <c r="S17" s="280"/>
    </row>
    <row r="18" spans="1:19" x14ac:dyDescent="0.2">
      <c r="L18">
        <f t="shared" si="3"/>
        <v>0</v>
      </c>
      <c r="M18">
        <f t="shared" si="3"/>
        <v>0</v>
      </c>
      <c r="N18">
        <f t="shared" si="3"/>
        <v>0</v>
      </c>
    </row>
    <row r="19" spans="1:19" ht="16" x14ac:dyDescent="0.2">
      <c r="A19" s="276" t="s">
        <v>248</v>
      </c>
      <c r="B19" s="283"/>
      <c r="C19" s="283"/>
      <c r="D19" s="283"/>
      <c r="E19" s="283"/>
      <c r="F19" s="283" t="s">
        <v>19</v>
      </c>
      <c r="G19" s="283"/>
      <c r="I19" s="276" t="s">
        <v>215</v>
      </c>
      <c r="J19" s="276" t="s">
        <v>26</v>
      </c>
      <c r="K19" s="276" t="s">
        <v>216</v>
      </c>
      <c r="L19" s="277" t="s">
        <v>217</v>
      </c>
      <c r="M19" s="277" t="s">
        <v>218</v>
      </c>
      <c r="N19" s="277" t="s">
        <v>219</v>
      </c>
    </row>
    <row r="20" spans="1:19" ht="18" x14ac:dyDescent="0.25">
      <c r="A20" s="278" t="s">
        <v>220</v>
      </c>
      <c r="B20" s="278" t="s">
        <v>221</v>
      </c>
      <c r="C20" s="278" t="s">
        <v>222</v>
      </c>
      <c r="D20" s="278" t="s">
        <v>223</v>
      </c>
      <c r="E20" s="278" t="s">
        <v>224</v>
      </c>
      <c r="F20" s="278" t="s">
        <v>225</v>
      </c>
      <c r="G20" s="279" t="s">
        <v>226</v>
      </c>
      <c r="L20">
        <f t="shared" si="3"/>
        <v>0</v>
      </c>
      <c r="M20">
        <f t="shared" si="3"/>
        <v>0</v>
      </c>
      <c r="N20">
        <f t="shared" si="3"/>
        <v>0</v>
      </c>
      <c r="Q20" s="278"/>
      <c r="R20" s="278"/>
      <c r="S20" s="278"/>
    </row>
    <row r="21" spans="1:19" ht="16" x14ac:dyDescent="0.2">
      <c r="A21" s="289" t="s">
        <v>227</v>
      </c>
      <c r="B21" s="289" t="s">
        <v>228</v>
      </c>
      <c r="C21" s="289">
        <v>-1.1019414273000001</v>
      </c>
      <c r="D21" s="289">
        <v>3.0116068579999999</v>
      </c>
      <c r="E21" s="289">
        <v>0.26747391279999999</v>
      </c>
      <c r="F21" s="289">
        <v>-1.0585532872000001</v>
      </c>
      <c r="G21" s="281">
        <v>1.1185860563000001</v>
      </c>
      <c r="I21">
        <f>C21</f>
        <v>-1.1019414273000001</v>
      </c>
      <c r="J21">
        <f>E21</f>
        <v>0.26747391279999999</v>
      </c>
      <c r="K21">
        <f>D21+F21</f>
        <v>1.9530535707999999</v>
      </c>
      <c r="L21">
        <f t="shared" si="3"/>
        <v>-1.2121355700300003</v>
      </c>
      <c r="M21">
        <f t="shared" si="3"/>
        <v>0.29422130408000002</v>
      </c>
      <c r="N21">
        <f t="shared" si="3"/>
        <v>2.1483589278799999</v>
      </c>
      <c r="Q21" s="280"/>
      <c r="R21" s="280"/>
      <c r="S21" s="280"/>
    </row>
    <row r="22" spans="1:19" ht="16" x14ac:dyDescent="0.2">
      <c r="A22" s="289" t="s">
        <v>229</v>
      </c>
      <c r="B22" s="289" t="s">
        <v>230</v>
      </c>
      <c r="C22" s="282">
        <v>6.7032943198999995E-8</v>
      </c>
      <c r="D22" s="282">
        <v>2.9389359051999999E-9</v>
      </c>
      <c r="E22" s="282">
        <v>1.0848936229000001E-11</v>
      </c>
      <c r="F22" s="282">
        <v>-2.0598777504E-7</v>
      </c>
      <c r="G22" s="293">
        <v>-1.3600504699999999E-7</v>
      </c>
      <c r="I22">
        <f t="shared" ref="I22:I34" si="4">C22</f>
        <v>6.7032943198999995E-8</v>
      </c>
      <c r="J22">
        <f t="shared" ref="J22:J34" si="5">E22</f>
        <v>1.0848936229000001E-11</v>
      </c>
      <c r="K22">
        <f t="shared" ref="K22:K34" si="6">D22+F22</f>
        <v>-2.0304883913480001E-7</v>
      </c>
      <c r="L22">
        <f t="shared" si="3"/>
        <v>7.3736237518899999E-8</v>
      </c>
      <c r="M22">
        <f t="shared" si="3"/>
        <v>1.1933829851900002E-11</v>
      </c>
      <c r="N22">
        <f t="shared" si="3"/>
        <v>-2.2335372304828003E-7</v>
      </c>
      <c r="Q22" s="280"/>
      <c r="R22" s="280"/>
      <c r="S22" s="282"/>
    </row>
    <row r="23" spans="1:19" ht="16" x14ac:dyDescent="0.2">
      <c r="A23" s="289" t="s">
        <v>231</v>
      </c>
      <c r="B23" s="289" t="s">
        <v>232</v>
      </c>
      <c r="C23" s="282">
        <v>1.3674965898E-3</v>
      </c>
      <c r="D23" s="282">
        <v>2.8996507587000001E-5</v>
      </c>
      <c r="E23" s="282">
        <v>2.4782090754000001E-4</v>
      </c>
      <c r="F23" s="282">
        <v>-4.8544516096000003E-5</v>
      </c>
      <c r="G23" s="293">
        <v>1.5957694888E-3</v>
      </c>
      <c r="I23">
        <f t="shared" si="4"/>
        <v>1.3674965898E-3</v>
      </c>
      <c r="J23">
        <f t="shared" si="5"/>
        <v>2.4782090754000001E-4</v>
      </c>
      <c r="K23">
        <f t="shared" si="6"/>
        <v>-1.9548008509000003E-5</v>
      </c>
      <c r="L23">
        <f t="shared" si="3"/>
        <v>1.5042462487800002E-3</v>
      </c>
      <c r="M23">
        <f t="shared" si="3"/>
        <v>2.7260299829400003E-4</v>
      </c>
      <c r="N23">
        <f t="shared" si="3"/>
        <v>-2.1502809359900005E-5</v>
      </c>
      <c r="Q23" s="280"/>
      <c r="R23" s="280"/>
      <c r="S23" s="282"/>
    </row>
    <row r="24" spans="1:19" ht="16" x14ac:dyDescent="0.2">
      <c r="A24" s="289" t="s">
        <v>233</v>
      </c>
      <c r="B24" s="289" t="s">
        <v>234</v>
      </c>
      <c r="C24" s="282">
        <v>5.5058176957999997E-3</v>
      </c>
      <c r="D24" s="282">
        <v>2.7899083989999998E-4</v>
      </c>
      <c r="E24" s="282">
        <v>1.0761250901E-3</v>
      </c>
      <c r="F24" s="282">
        <v>-1.1159895325E-3</v>
      </c>
      <c r="G24" s="293">
        <v>5.7449440932999998E-3</v>
      </c>
      <c r="I24">
        <f t="shared" si="4"/>
        <v>5.5058176957999997E-3</v>
      </c>
      <c r="J24">
        <f t="shared" si="5"/>
        <v>1.0761250901E-3</v>
      </c>
      <c r="K24">
        <f t="shared" si="6"/>
        <v>-8.3699869259999996E-4</v>
      </c>
      <c r="L24">
        <f t="shared" si="3"/>
        <v>6.0563994653799998E-3</v>
      </c>
      <c r="M24">
        <f t="shared" si="3"/>
        <v>1.1837375991100001E-3</v>
      </c>
      <c r="N24">
        <f t="shared" si="3"/>
        <v>-9.2069856186E-4</v>
      </c>
      <c r="Q24" s="280"/>
      <c r="R24" s="280"/>
      <c r="S24" s="282"/>
    </row>
    <row r="25" spans="1:19" ht="16" x14ac:dyDescent="0.2">
      <c r="A25" s="289" t="s">
        <v>235</v>
      </c>
      <c r="B25" s="289" t="s">
        <v>236</v>
      </c>
      <c r="C25" s="282">
        <v>9.7216997749000002E-4</v>
      </c>
      <c r="D25" s="282">
        <v>6.3472665279999999E-5</v>
      </c>
      <c r="E25" s="282">
        <v>1.8761608325000001E-4</v>
      </c>
      <c r="F25" s="282">
        <v>-1.5542753392000002E-5</v>
      </c>
      <c r="G25" s="293">
        <v>1.2077159725999999E-3</v>
      </c>
      <c r="I25">
        <f t="shared" si="4"/>
        <v>9.7216997749000002E-4</v>
      </c>
      <c r="J25">
        <f t="shared" si="5"/>
        <v>1.8761608325000001E-4</v>
      </c>
      <c r="K25">
        <f t="shared" si="6"/>
        <v>4.7929911888000001E-5</v>
      </c>
      <c r="L25">
        <f t="shared" si="3"/>
        <v>1.0693869752390001E-3</v>
      </c>
      <c r="M25">
        <f t="shared" si="3"/>
        <v>2.0637769157500003E-4</v>
      </c>
      <c r="N25">
        <f t="shared" si="3"/>
        <v>5.2722903076800008E-5</v>
      </c>
      <c r="Q25" s="280"/>
      <c r="R25" s="280"/>
      <c r="S25" s="282"/>
    </row>
    <row r="26" spans="1:19" ht="16" x14ac:dyDescent="0.2">
      <c r="A26" s="289" t="s">
        <v>237</v>
      </c>
      <c r="B26" s="289" t="s">
        <v>238</v>
      </c>
      <c r="C26" s="289">
        <v>54.758775388300002</v>
      </c>
      <c r="D26" s="289">
        <v>-23.135356082099999</v>
      </c>
      <c r="E26" s="289">
        <v>5.4164888671</v>
      </c>
      <c r="F26" s="289">
        <v>0.12358299020000001</v>
      </c>
      <c r="G26" s="281">
        <v>37.163491163400003</v>
      </c>
      <c r="I26">
        <f t="shared" si="4"/>
        <v>54.758775388300002</v>
      </c>
      <c r="J26">
        <f t="shared" si="5"/>
        <v>5.4164888671</v>
      </c>
      <c r="K26">
        <f t="shared" si="6"/>
        <v>-23.0117730919</v>
      </c>
      <c r="L26">
        <f t="shared" si="3"/>
        <v>60.234652927130007</v>
      </c>
      <c r="M26">
        <f t="shared" si="3"/>
        <v>5.9581377538100009</v>
      </c>
      <c r="N26">
        <f t="shared" si="3"/>
        <v>-25.312950401090003</v>
      </c>
      <c r="Q26" s="280"/>
      <c r="R26" s="280"/>
      <c r="S26" s="280"/>
    </row>
    <row r="27" spans="1:19" ht="16" x14ac:dyDescent="0.2">
      <c r="A27" s="289" t="s">
        <v>239</v>
      </c>
      <c r="B27" s="289" t="s">
        <v>238</v>
      </c>
      <c r="C27" s="289">
        <v>18.187604535799998</v>
      </c>
      <c r="D27" s="289">
        <v>0.54956808010000002</v>
      </c>
      <c r="E27" s="289">
        <v>3.7459962824000002</v>
      </c>
      <c r="F27" s="289">
        <v>-22.200291116100001</v>
      </c>
      <c r="G27" s="281">
        <v>0.28287778219999998</v>
      </c>
      <c r="I27">
        <f t="shared" si="4"/>
        <v>18.187604535799998</v>
      </c>
      <c r="J27">
        <f t="shared" si="5"/>
        <v>3.7459962824000002</v>
      </c>
      <c r="K27">
        <f t="shared" si="6"/>
        <v>-21.650723036000002</v>
      </c>
      <c r="L27">
        <f t="shared" si="3"/>
        <v>20.00636498938</v>
      </c>
      <c r="M27">
        <f t="shared" si="3"/>
        <v>4.1205959106400005</v>
      </c>
      <c r="N27">
        <f t="shared" si="3"/>
        <v>-23.815795339600005</v>
      </c>
      <c r="Q27" s="280"/>
      <c r="R27" s="280"/>
      <c r="S27" s="280"/>
    </row>
    <row r="28" spans="1:19" ht="16" x14ac:dyDescent="0.2">
      <c r="A28" s="289" t="s">
        <v>240</v>
      </c>
      <c r="B28" s="289" t="s">
        <v>238</v>
      </c>
      <c r="C28" s="289">
        <v>0.95716897379999999</v>
      </c>
      <c r="D28" s="289">
        <v>-0.18942189949999999</v>
      </c>
      <c r="E28" s="289">
        <v>0.56795662999999996</v>
      </c>
      <c r="F28" s="289">
        <v>0</v>
      </c>
      <c r="G28" s="281">
        <v>1.3357037043</v>
      </c>
      <c r="I28">
        <f t="shared" si="4"/>
        <v>0.95716897379999999</v>
      </c>
      <c r="J28">
        <f t="shared" si="5"/>
        <v>0.56795662999999996</v>
      </c>
      <c r="K28">
        <f t="shared" si="6"/>
        <v>-0.18942189949999999</v>
      </c>
      <c r="L28">
        <f t="shared" si="3"/>
        <v>1.05288587118</v>
      </c>
      <c r="M28">
        <f t="shared" si="3"/>
        <v>0.62475229300000001</v>
      </c>
      <c r="N28">
        <f t="shared" si="3"/>
        <v>-0.20836408945000001</v>
      </c>
      <c r="Q28" s="280"/>
      <c r="R28" s="280"/>
      <c r="S28" s="280"/>
    </row>
    <row r="29" spans="1:19" ht="16" x14ac:dyDescent="0.2">
      <c r="A29" s="289" t="s">
        <v>241</v>
      </c>
      <c r="B29" s="289" t="s">
        <v>238</v>
      </c>
      <c r="C29" s="289">
        <v>17.224971980900001</v>
      </c>
      <c r="D29" s="289">
        <v>0.73898997970000002</v>
      </c>
      <c r="E29" s="289">
        <v>3.1780396523999999</v>
      </c>
      <c r="F29" s="289">
        <v>-20.997696774800001</v>
      </c>
      <c r="G29" s="281">
        <v>0.14430483820000001</v>
      </c>
      <c r="I29">
        <f t="shared" si="4"/>
        <v>17.224971980900001</v>
      </c>
      <c r="J29">
        <f t="shared" si="5"/>
        <v>3.1780396523999999</v>
      </c>
      <c r="K29">
        <f t="shared" si="6"/>
        <v>-20.2587067951</v>
      </c>
      <c r="L29">
        <f t="shared" si="3"/>
        <v>18.947469178990001</v>
      </c>
      <c r="M29">
        <f t="shared" si="3"/>
        <v>3.4958436176400003</v>
      </c>
      <c r="N29">
        <f t="shared" si="3"/>
        <v>-22.284577474610003</v>
      </c>
      <c r="Q29" s="280"/>
      <c r="R29" s="280"/>
      <c r="S29" s="280"/>
    </row>
    <row r="30" spans="1:19" ht="16" x14ac:dyDescent="0.2">
      <c r="A30" s="289" t="s">
        <v>242</v>
      </c>
      <c r="B30" s="289" t="s">
        <v>238</v>
      </c>
      <c r="C30" s="289">
        <v>36.571170852599998</v>
      </c>
      <c r="D30" s="289">
        <v>-23.6849241623</v>
      </c>
      <c r="E30" s="289">
        <v>1.6704925847000001</v>
      </c>
      <c r="F30" s="289">
        <v>22.3238741063</v>
      </c>
      <c r="G30" s="281">
        <v>36.8806133812</v>
      </c>
      <c r="I30">
        <f t="shared" si="4"/>
        <v>36.571170852599998</v>
      </c>
      <c r="J30">
        <f t="shared" si="5"/>
        <v>1.6704925847000001</v>
      </c>
      <c r="K30">
        <f t="shared" si="6"/>
        <v>-1.3610500559999998</v>
      </c>
      <c r="L30">
        <f t="shared" si="3"/>
        <v>40.228287937860003</v>
      </c>
      <c r="M30">
        <f t="shared" si="3"/>
        <v>1.8375418431700001</v>
      </c>
      <c r="N30">
        <f t="shared" si="3"/>
        <v>-1.4971550616</v>
      </c>
      <c r="Q30" s="280"/>
      <c r="R30" s="280"/>
      <c r="S30" s="280"/>
    </row>
    <row r="31" spans="1:19" ht="16" x14ac:dyDescent="0.2">
      <c r="A31" s="289" t="s">
        <v>243</v>
      </c>
      <c r="B31" s="289" t="s">
        <v>238</v>
      </c>
      <c r="C31" s="289">
        <v>31.046533524699999</v>
      </c>
      <c r="D31" s="289">
        <v>-23.742086670999999</v>
      </c>
      <c r="E31" s="289">
        <v>4.227674157</v>
      </c>
      <c r="F31" s="289">
        <v>0</v>
      </c>
      <c r="G31" s="281">
        <v>11.532121010799999</v>
      </c>
      <c r="I31">
        <f t="shared" si="4"/>
        <v>31.046533524699999</v>
      </c>
      <c r="J31">
        <f t="shared" si="5"/>
        <v>4.227674157</v>
      </c>
      <c r="K31">
        <f t="shared" si="6"/>
        <v>-23.742086670999999</v>
      </c>
      <c r="L31">
        <f t="shared" si="3"/>
        <v>34.151186877170005</v>
      </c>
      <c r="M31">
        <f t="shared" si="3"/>
        <v>4.6504415727000001</v>
      </c>
      <c r="N31">
        <f t="shared" si="3"/>
        <v>-26.116295338100002</v>
      </c>
      <c r="Q31" s="280"/>
      <c r="R31" s="280"/>
      <c r="S31" s="280"/>
    </row>
    <row r="32" spans="1:19" ht="16" x14ac:dyDescent="0.2">
      <c r="A32" s="289" t="s">
        <v>244</v>
      </c>
      <c r="B32" s="289" t="s">
        <v>238</v>
      </c>
      <c r="C32" s="289">
        <v>6.1139065248</v>
      </c>
      <c r="D32" s="289">
        <v>5.7162508700000003E-2</v>
      </c>
      <c r="E32" s="289">
        <v>-1.9645917755</v>
      </c>
      <c r="F32" s="289">
        <v>22.4666677658</v>
      </c>
      <c r="G32" s="281">
        <v>26.6731450238</v>
      </c>
      <c r="I32">
        <f t="shared" si="4"/>
        <v>6.1139065248</v>
      </c>
      <c r="J32">
        <f t="shared" si="5"/>
        <v>-1.9645917755</v>
      </c>
      <c r="K32">
        <f t="shared" si="6"/>
        <v>22.5238302745</v>
      </c>
      <c r="L32">
        <f t="shared" si="3"/>
        <v>6.7252971772800008</v>
      </c>
      <c r="M32">
        <f t="shared" si="3"/>
        <v>-2.1610509530500002</v>
      </c>
      <c r="N32">
        <f t="shared" si="3"/>
        <v>24.776213301950001</v>
      </c>
      <c r="Q32" s="280"/>
      <c r="R32" s="280"/>
      <c r="S32" s="280"/>
    </row>
    <row r="33" spans="1:19" ht="16" x14ac:dyDescent="0.2">
      <c r="A33" s="289" t="s">
        <v>245</v>
      </c>
      <c r="B33" s="289" t="s">
        <v>246</v>
      </c>
      <c r="C33" s="282">
        <v>1.8085833617000001E-5</v>
      </c>
      <c r="D33" s="282">
        <v>3.8583403562000003E-8</v>
      </c>
      <c r="E33" s="282">
        <v>1.1662324927E-5</v>
      </c>
      <c r="F33" s="282">
        <v>-6.8295241634999998E-8</v>
      </c>
      <c r="G33" s="293">
        <v>2.9718446705999999E-5</v>
      </c>
      <c r="I33">
        <f t="shared" si="4"/>
        <v>1.8085833617000001E-5</v>
      </c>
      <c r="J33">
        <f t="shared" si="5"/>
        <v>1.1662324927E-5</v>
      </c>
      <c r="K33">
        <f t="shared" si="6"/>
        <v>-2.9711838072999996E-8</v>
      </c>
      <c r="L33">
        <f t="shared" si="3"/>
        <v>1.9894416978700002E-5</v>
      </c>
      <c r="M33">
        <f t="shared" si="3"/>
        <v>1.2828557419700001E-5</v>
      </c>
      <c r="N33">
        <f t="shared" si="3"/>
        <v>-3.26830218803E-8</v>
      </c>
      <c r="Q33" s="280"/>
      <c r="R33" s="280"/>
      <c r="S33" s="282"/>
    </row>
    <row r="34" spans="1:19" ht="16" x14ac:dyDescent="0.2">
      <c r="A34" s="289" t="s">
        <v>247</v>
      </c>
      <c r="B34" s="289" t="s">
        <v>238</v>
      </c>
      <c r="C34" s="289">
        <v>15.5074425272</v>
      </c>
      <c r="D34" s="289">
        <v>0.60662816490000004</v>
      </c>
      <c r="E34" s="289">
        <v>3.4865863083000002</v>
      </c>
      <c r="F34" s="289">
        <v>-13.6726891749</v>
      </c>
      <c r="G34" s="281">
        <v>5.9279678254999997</v>
      </c>
      <c r="I34">
        <f t="shared" si="4"/>
        <v>15.5074425272</v>
      </c>
      <c r="J34">
        <f t="shared" si="5"/>
        <v>3.4865863083000002</v>
      </c>
      <c r="K34">
        <f t="shared" si="6"/>
        <v>-13.06606101</v>
      </c>
      <c r="L34">
        <f t="shared" si="3"/>
        <v>17.058186779920003</v>
      </c>
      <c r="M34">
        <f t="shared" si="3"/>
        <v>3.8352449391300003</v>
      </c>
      <c r="N34">
        <f t="shared" si="3"/>
        <v>-14.372667111000002</v>
      </c>
      <c r="Q34" s="280"/>
      <c r="R34" s="280"/>
      <c r="S34" s="280"/>
    </row>
    <row r="35" spans="1:19" ht="16" x14ac:dyDescent="0.2">
      <c r="A35" s="280"/>
      <c r="B35" s="280"/>
      <c r="C35" s="280"/>
      <c r="D35" s="280"/>
      <c r="E35" s="280"/>
      <c r="F35" s="280"/>
      <c r="G35" s="281"/>
      <c r="Q35" s="280"/>
      <c r="R35" s="280"/>
      <c r="S35" s="280"/>
    </row>
    <row r="36" spans="1:19" ht="16" x14ac:dyDescent="0.2">
      <c r="A36" s="276" t="s">
        <v>249</v>
      </c>
      <c r="B36" s="283"/>
      <c r="C36" s="283"/>
      <c r="D36" s="283"/>
      <c r="E36" s="283"/>
      <c r="F36" s="283"/>
      <c r="G36" s="283"/>
      <c r="I36" s="276" t="s">
        <v>215</v>
      </c>
      <c r="J36" s="276" t="s">
        <v>26</v>
      </c>
      <c r="K36" s="276" t="s">
        <v>216</v>
      </c>
      <c r="L36" s="277" t="s">
        <v>217</v>
      </c>
      <c r="M36" s="277" t="s">
        <v>218</v>
      </c>
      <c r="N36" s="277" t="s">
        <v>219</v>
      </c>
      <c r="Q36" s="280"/>
      <c r="R36" s="280"/>
      <c r="S36" s="280"/>
    </row>
    <row r="37" spans="1:19" ht="18" x14ac:dyDescent="0.25">
      <c r="A37" s="278" t="s">
        <v>220</v>
      </c>
      <c r="B37" s="278" t="s">
        <v>221</v>
      </c>
      <c r="C37" s="278" t="s">
        <v>222</v>
      </c>
      <c r="D37" s="278" t="s">
        <v>223</v>
      </c>
      <c r="E37" s="278" t="s">
        <v>224</v>
      </c>
      <c r="F37" s="278" t="s">
        <v>225</v>
      </c>
      <c r="G37" s="279" t="s">
        <v>226</v>
      </c>
      <c r="L37" t="s">
        <v>251</v>
      </c>
      <c r="M37" t="s">
        <v>251</v>
      </c>
      <c r="N37" t="s">
        <v>251</v>
      </c>
      <c r="Q37" s="278"/>
      <c r="R37" s="278"/>
      <c r="S37" s="278"/>
    </row>
    <row r="38" spans="1:19" ht="16" x14ac:dyDescent="0.2">
      <c r="A38" s="289" t="s">
        <v>227</v>
      </c>
      <c r="B38" s="289" t="s">
        <v>228</v>
      </c>
      <c r="C38" s="289">
        <v>1.2880437386000001</v>
      </c>
      <c r="D38" s="289">
        <v>8.9060616100000004E-2</v>
      </c>
      <c r="E38" s="289">
        <v>7.9676037000000005E-2</v>
      </c>
      <c r="F38" s="289">
        <v>-0.32971120710000001</v>
      </c>
      <c r="G38" s="281">
        <v>1.1270691847000001</v>
      </c>
      <c r="I38">
        <f>C38</f>
        <v>1.2880437386000001</v>
      </c>
      <c r="J38">
        <f>E38</f>
        <v>7.9676037000000005E-2</v>
      </c>
      <c r="K38">
        <f>D38+F38</f>
        <v>-0.24065059100000002</v>
      </c>
      <c r="L38">
        <f t="shared" si="3"/>
        <v>1.4168481124600003</v>
      </c>
      <c r="M38">
        <f t="shared" si="3"/>
        <v>8.7643640700000011E-2</v>
      </c>
      <c r="N38">
        <f t="shared" si="3"/>
        <v>-0.26471565010000003</v>
      </c>
      <c r="Q38" s="280"/>
      <c r="R38" s="280"/>
      <c r="S38" s="280"/>
    </row>
    <row r="39" spans="1:19" ht="16" x14ac:dyDescent="0.2">
      <c r="A39" s="289" t="s">
        <v>229</v>
      </c>
      <c r="B39" s="289" t="s">
        <v>230</v>
      </c>
      <c r="C39" s="282">
        <v>1.3283198576E-9</v>
      </c>
      <c r="D39" s="282">
        <v>8.7315105966000002E-11</v>
      </c>
      <c r="E39" s="282">
        <v>3.1275539511000002E-12</v>
      </c>
      <c r="F39" s="282">
        <v>-6.2249079659999998E-9</v>
      </c>
      <c r="G39" s="293">
        <v>-4.8061454485E-9</v>
      </c>
      <c r="I39">
        <f t="shared" ref="I39:I51" si="7">C39</f>
        <v>1.3283198576E-9</v>
      </c>
      <c r="J39">
        <f t="shared" ref="J39:J51" si="8">E39</f>
        <v>3.1275539511000002E-12</v>
      </c>
      <c r="K39">
        <f t="shared" ref="K39:K51" si="9">D39+F39</f>
        <v>-6.1375928600339996E-9</v>
      </c>
      <c r="L39">
        <f t="shared" si="3"/>
        <v>1.4611518433600002E-9</v>
      </c>
      <c r="M39">
        <f t="shared" si="3"/>
        <v>3.4403093462100005E-12</v>
      </c>
      <c r="N39">
        <f t="shared" si="3"/>
        <v>-6.7513521460374005E-9</v>
      </c>
      <c r="Q39" s="280"/>
      <c r="R39" s="280"/>
      <c r="S39" s="282"/>
    </row>
    <row r="40" spans="1:19" ht="16" x14ac:dyDescent="0.2">
      <c r="A40" s="289" t="s">
        <v>231</v>
      </c>
      <c r="B40" s="289" t="s">
        <v>232</v>
      </c>
      <c r="C40" s="282">
        <v>4.7728250206999998E-4</v>
      </c>
      <c r="D40" s="282">
        <v>1.3863548648E-5</v>
      </c>
      <c r="E40" s="282">
        <v>2.6704371467E-4</v>
      </c>
      <c r="F40" s="282">
        <v>-8.7021517519000004E-5</v>
      </c>
      <c r="G40" s="293">
        <v>6.7116824787000001E-4</v>
      </c>
      <c r="I40">
        <f t="shared" si="7"/>
        <v>4.7728250206999998E-4</v>
      </c>
      <c r="J40">
        <f t="shared" si="8"/>
        <v>2.6704371467E-4</v>
      </c>
      <c r="K40">
        <f t="shared" si="9"/>
        <v>-7.3157968871000008E-5</v>
      </c>
      <c r="L40">
        <f t="shared" si="3"/>
        <v>5.2501075227700004E-4</v>
      </c>
      <c r="M40">
        <f t="shared" si="3"/>
        <v>2.9374808613700002E-4</v>
      </c>
      <c r="N40">
        <f t="shared" si="3"/>
        <v>-8.047376575810001E-5</v>
      </c>
      <c r="Q40" s="280"/>
      <c r="R40" s="280"/>
      <c r="S40" s="282"/>
    </row>
    <row r="41" spans="1:19" ht="16" x14ac:dyDescent="0.2">
      <c r="A41" s="289" t="s">
        <v>233</v>
      </c>
      <c r="B41" s="289" t="s">
        <v>234</v>
      </c>
      <c r="C41" s="282">
        <v>3.5014123577999999E-3</v>
      </c>
      <c r="D41" s="282">
        <v>1.0230269755999999E-4</v>
      </c>
      <c r="E41" s="282">
        <v>2.413134502E-4</v>
      </c>
      <c r="F41" s="282">
        <v>-1.3346217341E-3</v>
      </c>
      <c r="G41" s="293">
        <v>2.5104067714999999E-3</v>
      </c>
      <c r="I41">
        <f t="shared" si="7"/>
        <v>3.5014123577999999E-3</v>
      </c>
      <c r="J41">
        <f t="shared" si="8"/>
        <v>2.413134502E-4</v>
      </c>
      <c r="K41">
        <f t="shared" si="9"/>
        <v>-1.2323190365399999E-3</v>
      </c>
      <c r="L41">
        <f t="shared" si="3"/>
        <v>3.85155359358E-3</v>
      </c>
      <c r="M41">
        <f t="shared" si="3"/>
        <v>2.6544479522000003E-4</v>
      </c>
      <c r="N41">
        <f t="shared" si="3"/>
        <v>-1.355550940194E-3</v>
      </c>
      <c r="Q41" s="280"/>
      <c r="R41" s="280"/>
      <c r="S41" s="282"/>
    </row>
    <row r="42" spans="1:19" ht="16" x14ac:dyDescent="0.2">
      <c r="A42" s="289" t="s">
        <v>235</v>
      </c>
      <c r="B42" s="289" t="s">
        <v>236</v>
      </c>
      <c r="C42" s="282">
        <v>3.3855445411000001E-4</v>
      </c>
      <c r="D42" s="282">
        <v>2.3820523567999999E-5</v>
      </c>
      <c r="E42" s="282">
        <v>1.9395206111999999E-5</v>
      </c>
      <c r="F42" s="282">
        <v>-8.5255400614000004E-5</v>
      </c>
      <c r="G42" s="293">
        <v>2.9651478316999999E-4</v>
      </c>
      <c r="I42">
        <f t="shared" si="7"/>
        <v>3.3855445411000001E-4</v>
      </c>
      <c r="J42">
        <f t="shared" si="8"/>
        <v>1.9395206111999999E-5</v>
      </c>
      <c r="K42">
        <f t="shared" si="9"/>
        <v>-6.1434877046000002E-5</v>
      </c>
      <c r="L42">
        <f t="shared" si="3"/>
        <v>3.7240989952100004E-4</v>
      </c>
      <c r="M42">
        <f t="shared" si="3"/>
        <v>2.1334726723200002E-5</v>
      </c>
      <c r="N42">
        <f t="shared" si="3"/>
        <v>-6.7578364750600013E-5</v>
      </c>
      <c r="Q42" s="280"/>
      <c r="R42" s="280"/>
      <c r="S42" s="282"/>
    </row>
    <row r="43" spans="1:19" ht="16" x14ac:dyDescent="0.2">
      <c r="A43" s="289" t="s">
        <v>237</v>
      </c>
      <c r="B43" s="289" t="s">
        <v>238</v>
      </c>
      <c r="C43" s="289">
        <v>16.230427041900001</v>
      </c>
      <c r="D43" s="289">
        <v>-0.32362665550000003</v>
      </c>
      <c r="E43" s="289">
        <v>1.6741163319000001</v>
      </c>
      <c r="F43" s="289">
        <v>-5.1732960754999997</v>
      </c>
      <c r="G43" s="281">
        <v>12.4076206429</v>
      </c>
      <c r="I43">
        <f t="shared" si="7"/>
        <v>16.230427041900001</v>
      </c>
      <c r="J43">
        <f t="shared" si="8"/>
        <v>1.6741163319000001</v>
      </c>
      <c r="K43">
        <f t="shared" si="9"/>
        <v>-5.4969227309999997</v>
      </c>
      <c r="L43">
        <f t="shared" si="3"/>
        <v>17.853469746090003</v>
      </c>
      <c r="M43">
        <f t="shared" si="3"/>
        <v>1.8415279650900003</v>
      </c>
      <c r="N43">
        <f t="shared" si="3"/>
        <v>-6.0466150041000004</v>
      </c>
      <c r="Q43" s="280"/>
      <c r="R43" s="280"/>
      <c r="S43" s="280"/>
    </row>
    <row r="44" spans="1:19" ht="16" x14ac:dyDescent="0.2">
      <c r="A44" s="289" t="s">
        <v>239</v>
      </c>
      <c r="B44" s="289" t="s">
        <v>238</v>
      </c>
      <c r="C44" s="289">
        <v>12.968501486699999</v>
      </c>
      <c r="D44" s="289">
        <v>0.27726036640000001</v>
      </c>
      <c r="E44" s="289">
        <v>1.5907841614</v>
      </c>
      <c r="F44" s="289">
        <v>-4.6151056629999996</v>
      </c>
      <c r="G44" s="281">
        <v>10.2214403515</v>
      </c>
      <c r="I44">
        <f t="shared" si="7"/>
        <v>12.968501486699999</v>
      </c>
      <c r="J44">
        <f t="shared" si="8"/>
        <v>1.5907841614</v>
      </c>
      <c r="K44">
        <f t="shared" si="9"/>
        <v>-4.3378452965999994</v>
      </c>
      <c r="L44">
        <f t="shared" si="3"/>
        <v>14.265351635370001</v>
      </c>
      <c r="M44">
        <f t="shared" si="3"/>
        <v>1.7498625775400001</v>
      </c>
      <c r="N44">
        <f t="shared" si="3"/>
        <v>-4.7716298262599999</v>
      </c>
      <c r="Q44" s="280"/>
      <c r="R44" s="280"/>
      <c r="S44" s="280"/>
    </row>
    <row r="45" spans="1:19" ht="16" x14ac:dyDescent="0.2">
      <c r="A45" s="289" t="s">
        <v>240</v>
      </c>
      <c r="B45" s="289" t="s">
        <v>238</v>
      </c>
      <c r="C45" s="289">
        <v>0.3115752644</v>
      </c>
      <c r="D45" s="282">
        <v>-1.4173719379E-3</v>
      </c>
      <c r="E45" s="289">
        <v>0.31015789249999998</v>
      </c>
      <c r="F45" s="289">
        <v>0</v>
      </c>
      <c r="G45" s="281">
        <v>0.62031578499999995</v>
      </c>
      <c r="I45">
        <f t="shared" si="7"/>
        <v>0.3115752644</v>
      </c>
      <c r="J45">
        <f t="shared" si="8"/>
        <v>0.31015789249999998</v>
      </c>
      <c r="K45">
        <f t="shared" si="9"/>
        <v>-1.4173719379E-3</v>
      </c>
      <c r="L45">
        <f t="shared" si="3"/>
        <v>0.34273279084000002</v>
      </c>
      <c r="M45">
        <f t="shared" si="3"/>
        <v>0.34117368175000001</v>
      </c>
      <c r="N45">
        <f t="shared" si="3"/>
        <v>-1.5591091316900002E-3</v>
      </c>
      <c r="Q45" s="280"/>
      <c r="R45" s="280"/>
      <c r="S45" s="280"/>
    </row>
    <row r="46" spans="1:19" ht="16" x14ac:dyDescent="0.2">
      <c r="A46" s="289" t="s">
        <v>241</v>
      </c>
      <c r="B46" s="289" t="s">
        <v>238</v>
      </c>
      <c r="C46" s="289">
        <v>12.6566104473</v>
      </c>
      <c r="D46" s="289">
        <v>0.27160625719999998</v>
      </c>
      <c r="E46" s="289">
        <v>1.2806262688000001</v>
      </c>
      <c r="F46" s="289">
        <v>-4.6078272115000001</v>
      </c>
      <c r="G46" s="281">
        <v>9.6010157616999994</v>
      </c>
      <c r="I46">
        <f t="shared" si="7"/>
        <v>12.6566104473</v>
      </c>
      <c r="J46">
        <f t="shared" si="8"/>
        <v>1.2806262688000001</v>
      </c>
      <c r="K46">
        <f t="shared" si="9"/>
        <v>-4.3362209542999999</v>
      </c>
      <c r="L46">
        <f t="shared" si="3"/>
        <v>13.922271492030001</v>
      </c>
      <c r="M46">
        <f t="shared" si="3"/>
        <v>1.4086888956800001</v>
      </c>
      <c r="N46">
        <f t="shared" si="3"/>
        <v>-4.7698430497300004</v>
      </c>
      <c r="Q46" s="280"/>
      <c r="R46" s="280"/>
      <c r="S46" s="280"/>
    </row>
    <row r="47" spans="1:19" ht="16" x14ac:dyDescent="0.2">
      <c r="A47" s="289" t="s">
        <v>242</v>
      </c>
      <c r="B47" s="289" t="s">
        <v>238</v>
      </c>
      <c r="C47" s="289">
        <v>3.2619255551999999</v>
      </c>
      <c r="D47" s="289">
        <v>-0.60088702189999998</v>
      </c>
      <c r="E47" s="289">
        <v>8.3332170499999997E-2</v>
      </c>
      <c r="F47" s="289">
        <v>-0.55819041250000001</v>
      </c>
      <c r="G47" s="281">
        <v>2.1861802912999999</v>
      </c>
      <c r="I47">
        <f t="shared" si="7"/>
        <v>3.2619255551999999</v>
      </c>
      <c r="J47">
        <f t="shared" si="8"/>
        <v>8.3332170499999997E-2</v>
      </c>
      <c r="K47">
        <f t="shared" si="9"/>
        <v>-1.1590774343999999</v>
      </c>
      <c r="L47">
        <f t="shared" si="3"/>
        <v>3.5881181107200004</v>
      </c>
      <c r="M47">
        <f t="shared" si="3"/>
        <v>9.1665387550000005E-2</v>
      </c>
      <c r="N47">
        <f t="shared" si="3"/>
        <v>-1.2749851778399999</v>
      </c>
      <c r="Q47" s="280"/>
      <c r="R47" s="280"/>
      <c r="S47" s="280"/>
    </row>
    <row r="48" spans="1:19" ht="16" x14ac:dyDescent="0.2">
      <c r="A48" s="289" t="s">
        <v>243</v>
      </c>
      <c r="B48" s="289" t="s">
        <v>238</v>
      </c>
      <c r="C48" s="289">
        <v>0.62129438299999995</v>
      </c>
      <c r="D48" s="289">
        <v>-0.62112003039999997</v>
      </c>
      <c r="E48" s="289">
        <v>0</v>
      </c>
      <c r="F48" s="289">
        <v>0</v>
      </c>
      <c r="G48" s="293">
        <v>1.7435264411E-4</v>
      </c>
      <c r="I48">
        <f t="shared" si="7"/>
        <v>0.62129438299999995</v>
      </c>
      <c r="J48">
        <f t="shared" si="8"/>
        <v>0</v>
      </c>
      <c r="K48">
        <f t="shared" si="9"/>
        <v>-0.62112003039999997</v>
      </c>
      <c r="L48">
        <f t="shared" si="3"/>
        <v>0.68342382130000001</v>
      </c>
      <c r="M48">
        <f t="shared" si="3"/>
        <v>0</v>
      </c>
      <c r="N48">
        <f t="shared" si="3"/>
        <v>-0.68323203344000005</v>
      </c>
      <c r="Q48" s="280"/>
      <c r="R48" s="280"/>
      <c r="S48" s="280"/>
    </row>
    <row r="49" spans="1:19" ht="16" x14ac:dyDescent="0.2">
      <c r="A49" s="289" t="s">
        <v>244</v>
      </c>
      <c r="B49" s="289" t="s">
        <v>238</v>
      </c>
      <c r="C49" s="289">
        <v>2.6384701818999998</v>
      </c>
      <c r="D49" s="289">
        <v>1.9708684000000001E-2</v>
      </c>
      <c r="E49" s="289">
        <v>8.3332170499999997E-2</v>
      </c>
      <c r="F49" s="289">
        <v>-0.55751775940000003</v>
      </c>
      <c r="G49" s="281">
        <v>2.1839932769999999</v>
      </c>
      <c r="I49">
        <f t="shared" si="7"/>
        <v>2.6384701818999998</v>
      </c>
      <c r="J49">
        <f t="shared" si="8"/>
        <v>8.3332170499999997E-2</v>
      </c>
      <c r="K49">
        <f t="shared" si="9"/>
        <v>-0.5378090754</v>
      </c>
      <c r="L49">
        <f t="shared" si="3"/>
        <v>2.9023172000900002</v>
      </c>
      <c r="M49">
        <f t="shared" si="3"/>
        <v>9.1665387550000005E-2</v>
      </c>
      <c r="N49">
        <f t="shared" si="3"/>
        <v>-0.59158998294000009</v>
      </c>
      <c r="Q49" s="280"/>
      <c r="R49" s="280"/>
      <c r="S49" s="280"/>
    </row>
    <row r="50" spans="1:19" ht="16" x14ac:dyDescent="0.2">
      <c r="A50" s="289" t="s">
        <v>245</v>
      </c>
      <c r="B50" s="289" t="s">
        <v>246</v>
      </c>
      <c r="C50" s="282">
        <v>2.9306321822000002E-6</v>
      </c>
      <c r="D50" s="282">
        <v>2.1912938082000001E-8</v>
      </c>
      <c r="E50" s="282">
        <v>3.3311986900999997E-7</v>
      </c>
      <c r="F50" s="282">
        <v>-9.7159846222999994E-8</v>
      </c>
      <c r="G50" s="293">
        <v>3.1885051431E-6</v>
      </c>
      <c r="I50">
        <f t="shared" si="7"/>
        <v>2.9306321822000002E-6</v>
      </c>
      <c r="J50">
        <f t="shared" si="8"/>
        <v>3.3311986900999997E-7</v>
      </c>
      <c r="K50">
        <f t="shared" si="9"/>
        <v>-7.5246908140999986E-8</v>
      </c>
      <c r="L50">
        <f t="shared" si="3"/>
        <v>3.2236954004200004E-6</v>
      </c>
      <c r="M50">
        <f t="shared" si="3"/>
        <v>3.6643185591100001E-7</v>
      </c>
      <c r="N50">
        <f t="shared" si="3"/>
        <v>-8.2771598955099997E-8</v>
      </c>
      <c r="Q50" s="280"/>
      <c r="R50" s="280"/>
      <c r="S50" s="282"/>
    </row>
    <row r="51" spans="1:19" ht="16" x14ac:dyDescent="0.2">
      <c r="A51" s="289" t="s">
        <v>247</v>
      </c>
      <c r="B51" s="289" t="s">
        <v>238</v>
      </c>
      <c r="C51" s="289">
        <v>10.960016463400001</v>
      </c>
      <c r="D51" s="289">
        <v>0.26740102329999998</v>
      </c>
      <c r="E51" s="289">
        <v>1.5135804418000001</v>
      </c>
      <c r="F51" s="289">
        <v>-3.5601592205000001</v>
      </c>
      <c r="G51" s="281">
        <v>9.1808387079999996</v>
      </c>
      <c r="I51">
        <f t="shared" si="7"/>
        <v>10.960016463400001</v>
      </c>
      <c r="J51">
        <f t="shared" si="8"/>
        <v>1.5135804418000001</v>
      </c>
      <c r="K51">
        <f t="shared" si="9"/>
        <v>-3.2927581972</v>
      </c>
      <c r="L51">
        <f t="shared" si="3"/>
        <v>12.056018109740002</v>
      </c>
      <c r="M51">
        <f t="shared" si="3"/>
        <v>1.6649384859800003</v>
      </c>
      <c r="N51">
        <f t="shared" si="3"/>
        <v>-3.6220340169200003</v>
      </c>
      <c r="Q51" s="280"/>
      <c r="R51" s="280"/>
      <c r="S51" s="280"/>
    </row>
    <row r="52" spans="1:19" ht="16" x14ac:dyDescent="0.2">
      <c r="Q52" s="280"/>
      <c r="R52" s="280"/>
      <c r="S52" s="280"/>
    </row>
    <row r="53" spans="1:19" ht="16" x14ac:dyDescent="0.2">
      <c r="A53" s="276" t="s">
        <v>250</v>
      </c>
      <c r="B53" s="283"/>
      <c r="C53" s="283"/>
      <c r="D53" s="283"/>
      <c r="E53" s="283"/>
      <c r="F53" s="283"/>
      <c r="G53" s="283"/>
      <c r="I53" s="276" t="s">
        <v>215</v>
      </c>
      <c r="J53" s="276" t="s">
        <v>26</v>
      </c>
      <c r="K53" s="276" t="s">
        <v>216</v>
      </c>
      <c r="L53" s="277" t="s">
        <v>217</v>
      </c>
      <c r="M53" s="277" t="s">
        <v>218</v>
      </c>
      <c r="N53" s="277" t="s">
        <v>219</v>
      </c>
      <c r="Q53" s="280"/>
      <c r="R53" s="280"/>
      <c r="S53" s="280"/>
    </row>
    <row r="54" spans="1:19" ht="18" x14ac:dyDescent="0.25">
      <c r="A54" s="278" t="s">
        <v>220</v>
      </c>
      <c r="B54" s="278" t="s">
        <v>221</v>
      </c>
      <c r="C54" s="278" t="s">
        <v>222</v>
      </c>
      <c r="D54" s="278" t="s">
        <v>223</v>
      </c>
      <c r="E54" s="278" t="s">
        <v>224</v>
      </c>
      <c r="F54" s="278" t="s">
        <v>225</v>
      </c>
      <c r="G54" s="279" t="s">
        <v>226</v>
      </c>
      <c r="L54" t="s">
        <v>251</v>
      </c>
      <c r="M54" t="s">
        <v>251</v>
      </c>
      <c r="N54" t="s">
        <v>251</v>
      </c>
      <c r="Q54" s="278"/>
      <c r="R54" s="278"/>
      <c r="S54" s="278"/>
    </row>
    <row r="55" spans="1:19" ht="16" x14ac:dyDescent="0.2">
      <c r="A55" s="289" t="s">
        <v>227</v>
      </c>
      <c r="B55" s="289" t="s">
        <v>228</v>
      </c>
      <c r="C55" s="289">
        <v>2.0163232957999999</v>
      </c>
      <c r="D55" s="289">
        <v>0.85457294650000004</v>
      </c>
      <c r="E55" s="289">
        <v>0.22542058309999999</v>
      </c>
      <c r="F55" s="289">
        <v>-0.36084441360000002</v>
      </c>
      <c r="G55" s="281">
        <v>2.7354724118</v>
      </c>
      <c r="I55">
        <f>C55</f>
        <v>2.0163232957999999</v>
      </c>
      <c r="J55">
        <f>E55</f>
        <v>0.22542058309999999</v>
      </c>
      <c r="K55">
        <f>D55+F55</f>
        <v>0.49372853290000002</v>
      </c>
      <c r="L55">
        <f t="shared" si="3"/>
        <v>2.2179556253800001</v>
      </c>
      <c r="M55">
        <f t="shared" si="3"/>
        <v>0.24796264141000002</v>
      </c>
      <c r="N55">
        <f t="shared" si="3"/>
        <v>0.54310138619000004</v>
      </c>
      <c r="Q55" s="280"/>
      <c r="R55" s="280"/>
      <c r="S55" s="280"/>
    </row>
    <row r="56" spans="1:19" ht="16" x14ac:dyDescent="0.2">
      <c r="A56" s="289" t="s">
        <v>229</v>
      </c>
      <c r="B56" s="289" t="s">
        <v>230</v>
      </c>
      <c r="C56" s="282">
        <v>3.5778029181999999E-9</v>
      </c>
      <c r="D56" s="282">
        <v>3.046421446E-10</v>
      </c>
      <c r="E56" s="282">
        <v>4.9365631903000001E-10</v>
      </c>
      <c r="F56" s="282">
        <v>-2.2570320434000001E-8</v>
      </c>
      <c r="G56" s="293">
        <v>-1.8194219051999999E-8</v>
      </c>
      <c r="I56">
        <f t="shared" ref="I56:I68" si="10">C56</f>
        <v>3.5778029181999999E-9</v>
      </c>
      <c r="J56">
        <f t="shared" ref="J56:J68" si="11">E56</f>
        <v>4.9365631903000001E-10</v>
      </c>
      <c r="K56">
        <f t="shared" ref="K56:K68" si="12">D56+F56</f>
        <v>-2.2265678289400002E-8</v>
      </c>
      <c r="L56">
        <f t="shared" si="3"/>
        <v>3.9355832100200002E-9</v>
      </c>
      <c r="M56">
        <f t="shared" si="3"/>
        <v>5.4302195093300002E-10</v>
      </c>
      <c r="N56">
        <f t="shared" si="3"/>
        <v>-2.4492246118340003E-8</v>
      </c>
      <c r="Q56" s="280"/>
      <c r="R56" s="280"/>
      <c r="S56" s="282"/>
    </row>
    <row r="57" spans="1:19" ht="16" x14ac:dyDescent="0.2">
      <c r="A57" s="289" t="s">
        <v>231</v>
      </c>
      <c r="B57" s="289" t="s">
        <v>232</v>
      </c>
      <c r="C57" s="282">
        <v>4.5426354238999999E-4</v>
      </c>
      <c r="D57" s="282">
        <v>4.7577230559000001E-5</v>
      </c>
      <c r="E57" s="282">
        <v>1.2985057345000001E-4</v>
      </c>
      <c r="F57" s="282">
        <v>-1.6069992094000001E-5</v>
      </c>
      <c r="G57" s="293">
        <v>6.1562135430999997E-4</v>
      </c>
      <c r="I57">
        <f t="shared" si="10"/>
        <v>4.5426354238999999E-4</v>
      </c>
      <c r="J57">
        <f t="shared" si="11"/>
        <v>1.2985057345000001E-4</v>
      </c>
      <c r="K57">
        <f t="shared" si="12"/>
        <v>3.1507238465E-5</v>
      </c>
      <c r="L57">
        <f t="shared" si="3"/>
        <v>4.9968989662899999E-4</v>
      </c>
      <c r="M57">
        <f t="shared" si="3"/>
        <v>1.4283563079500001E-4</v>
      </c>
      <c r="N57">
        <f t="shared" si="3"/>
        <v>3.46579623115E-5</v>
      </c>
      <c r="Q57" s="280"/>
      <c r="R57" s="280"/>
      <c r="S57" s="282"/>
    </row>
    <row r="58" spans="1:19" ht="16" x14ac:dyDescent="0.2">
      <c r="A58" s="289" t="s">
        <v>233</v>
      </c>
      <c r="B58" s="289" t="s">
        <v>234</v>
      </c>
      <c r="C58" s="282">
        <v>5.2129261312000002E-3</v>
      </c>
      <c r="D58" s="282">
        <v>3.6731398145000002E-4</v>
      </c>
      <c r="E58" s="282">
        <v>6.5400004454000001E-4</v>
      </c>
      <c r="F58" s="282">
        <v>-3.4004970782000002E-4</v>
      </c>
      <c r="G58" s="293">
        <v>5.8941904494000004E-3</v>
      </c>
      <c r="I58">
        <f t="shared" si="10"/>
        <v>5.2129261312000002E-3</v>
      </c>
      <c r="J58">
        <f t="shared" si="11"/>
        <v>6.5400004454000001E-4</v>
      </c>
      <c r="K58">
        <f t="shared" si="12"/>
        <v>2.7264273629999994E-5</v>
      </c>
      <c r="L58">
        <f t="shared" si="3"/>
        <v>5.7342187443200007E-3</v>
      </c>
      <c r="M58">
        <f t="shared" si="3"/>
        <v>7.1940004899400008E-4</v>
      </c>
      <c r="N58">
        <f t="shared" si="3"/>
        <v>2.9990700992999998E-5</v>
      </c>
      <c r="Q58" s="280"/>
      <c r="R58" s="280"/>
      <c r="S58" s="282"/>
    </row>
    <row r="59" spans="1:19" ht="16" x14ac:dyDescent="0.2">
      <c r="A59" s="289" t="s">
        <v>235</v>
      </c>
      <c r="B59" s="289" t="s">
        <v>236</v>
      </c>
      <c r="C59" s="282">
        <v>7.0782295198999995E-4</v>
      </c>
      <c r="D59" s="282">
        <v>7.9149468545999997E-5</v>
      </c>
      <c r="E59" s="282">
        <v>1.0543893873E-4</v>
      </c>
      <c r="F59" s="282">
        <v>-1.5889495878999998E-5</v>
      </c>
      <c r="G59" s="293">
        <v>8.7652186337999999E-4</v>
      </c>
      <c r="I59">
        <f t="shared" si="10"/>
        <v>7.0782295198999995E-4</v>
      </c>
      <c r="J59">
        <f t="shared" si="11"/>
        <v>1.0543893873E-4</v>
      </c>
      <c r="K59">
        <f t="shared" si="12"/>
        <v>6.3259972667000002E-5</v>
      </c>
      <c r="L59">
        <f t="shared" si="3"/>
        <v>7.7860524718899999E-4</v>
      </c>
      <c r="M59">
        <f t="shared" si="3"/>
        <v>1.15982832603E-4</v>
      </c>
      <c r="N59">
        <f t="shared" si="3"/>
        <v>6.9585969933700013E-5</v>
      </c>
      <c r="Q59" s="280"/>
      <c r="R59" s="280"/>
      <c r="S59" s="282"/>
    </row>
    <row r="60" spans="1:19" ht="16" x14ac:dyDescent="0.2">
      <c r="A60" s="289" t="s">
        <v>237</v>
      </c>
      <c r="B60" s="289" t="s">
        <v>238</v>
      </c>
      <c r="C60" s="289">
        <v>36.324637981199999</v>
      </c>
      <c r="D60" s="289">
        <v>-4.6938655923999999</v>
      </c>
      <c r="E60" s="289">
        <v>7.5955423475000003</v>
      </c>
      <c r="F60" s="289">
        <v>-2.3482475083000001</v>
      </c>
      <c r="G60" s="281">
        <v>36.878067227800003</v>
      </c>
      <c r="I60">
        <f t="shared" si="10"/>
        <v>36.324637981199999</v>
      </c>
      <c r="J60">
        <f t="shared" si="11"/>
        <v>7.5955423475000003</v>
      </c>
      <c r="K60">
        <f t="shared" si="12"/>
        <v>-7.0421131007</v>
      </c>
      <c r="L60">
        <f t="shared" si="3"/>
        <v>39.957101779319999</v>
      </c>
      <c r="M60">
        <f t="shared" si="3"/>
        <v>8.3550965822500007</v>
      </c>
      <c r="N60">
        <f t="shared" si="3"/>
        <v>-7.7463244107700007</v>
      </c>
      <c r="Q60" s="280"/>
      <c r="R60" s="280"/>
      <c r="S60" s="280"/>
    </row>
    <row r="61" spans="1:19" ht="16" x14ac:dyDescent="0.2">
      <c r="A61" s="289" t="s">
        <v>239</v>
      </c>
      <c r="B61" s="289" t="s">
        <v>238</v>
      </c>
      <c r="C61" s="289">
        <v>23.706706502999999</v>
      </c>
      <c r="D61" s="289">
        <v>0.84019558579999998</v>
      </c>
      <c r="E61" s="289">
        <v>3.1846061208999998</v>
      </c>
      <c r="F61" s="289">
        <v>-7.2222686612000002</v>
      </c>
      <c r="G61" s="281">
        <v>20.5092395484</v>
      </c>
      <c r="I61">
        <f t="shared" si="10"/>
        <v>23.706706502999999</v>
      </c>
      <c r="J61">
        <f t="shared" si="11"/>
        <v>3.1846061208999998</v>
      </c>
      <c r="K61">
        <f t="shared" si="12"/>
        <v>-6.3820730754000001</v>
      </c>
      <c r="L61">
        <f t="shared" si="3"/>
        <v>26.077377153300002</v>
      </c>
      <c r="M61">
        <f t="shared" si="3"/>
        <v>3.5030667329900003</v>
      </c>
      <c r="N61">
        <f t="shared" si="3"/>
        <v>-7.0202803829400011</v>
      </c>
      <c r="Q61" s="280"/>
      <c r="R61" s="280"/>
      <c r="S61" s="280"/>
    </row>
    <row r="62" spans="1:19" ht="16" x14ac:dyDescent="0.2">
      <c r="A62" s="289" t="s">
        <v>240</v>
      </c>
      <c r="B62" s="289" t="s">
        <v>238</v>
      </c>
      <c r="C62" s="289">
        <v>2.0933700134</v>
      </c>
      <c r="D62" s="289">
        <v>-0.28543390590000001</v>
      </c>
      <c r="E62" s="289">
        <v>1.8203955135000001</v>
      </c>
      <c r="F62" s="289">
        <v>0</v>
      </c>
      <c r="G62" s="281">
        <v>3.6283316210000001</v>
      </c>
      <c r="I62">
        <f t="shared" si="10"/>
        <v>2.0933700134</v>
      </c>
      <c r="J62">
        <f t="shared" si="11"/>
        <v>1.8203955135000001</v>
      </c>
      <c r="K62">
        <f t="shared" si="12"/>
        <v>-0.28543390590000001</v>
      </c>
      <c r="L62">
        <f t="shared" ref="L62:N68" si="13">I62*1.1</f>
        <v>2.3027070147400002</v>
      </c>
      <c r="M62">
        <f t="shared" si="13"/>
        <v>2.0024350648500002</v>
      </c>
      <c r="N62">
        <f t="shared" si="13"/>
        <v>-0.31397729649000006</v>
      </c>
      <c r="Q62" s="280"/>
      <c r="R62" s="280"/>
      <c r="S62" s="280"/>
    </row>
    <row r="63" spans="1:19" ht="16" x14ac:dyDescent="0.2">
      <c r="A63" s="289" t="s">
        <v>241</v>
      </c>
      <c r="B63" s="289" t="s">
        <v>238</v>
      </c>
      <c r="C63" s="289">
        <v>21.614865062100002</v>
      </c>
      <c r="D63" s="289">
        <v>0.80833746429999997</v>
      </c>
      <c r="E63" s="289">
        <v>2.5015559153</v>
      </c>
      <c r="F63" s="289">
        <v>-5.9739714142000002</v>
      </c>
      <c r="G63" s="281">
        <v>18.950787027499999</v>
      </c>
      <c r="I63">
        <f t="shared" si="10"/>
        <v>21.614865062100002</v>
      </c>
      <c r="J63">
        <f t="shared" si="11"/>
        <v>2.5015559153</v>
      </c>
      <c r="K63">
        <f t="shared" si="12"/>
        <v>-5.1656339499000001</v>
      </c>
      <c r="L63">
        <f t="shared" si="13"/>
        <v>23.776351568310005</v>
      </c>
      <c r="M63">
        <f t="shared" si="13"/>
        <v>2.7517115068300004</v>
      </c>
      <c r="N63">
        <f t="shared" si="13"/>
        <v>-5.6821973448900005</v>
      </c>
      <c r="Q63" s="280"/>
      <c r="R63" s="280"/>
      <c r="S63" s="280"/>
    </row>
    <row r="64" spans="1:19" ht="16" x14ac:dyDescent="0.2">
      <c r="A64" s="289" t="s">
        <v>242</v>
      </c>
      <c r="B64" s="289" t="s">
        <v>238</v>
      </c>
      <c r="C64" s="289">
        <v>12.617931478199999</v>
      </c>
      <c r="D64" s="289">
        <v>-5.5340611783</v>
      </c>
      <c r="E64" s="289">
        <v>4.4109362265999996</v>
      </c>
      <c r="F64" s="289">
        <v>4.8740211529000002</v>
      </c>
      <c r="G64" s="281">
        <v>16.368827679399999</v>
      </c>
      <c r="I64">
        <f t="shared" si="10"/>
        <v>12.617931478199999</v>
      </c>
      <c r="J64">
        <f t="shared" si="11"/>
        <v>4.4109362265999996</v>
      </c>
      <c r="K64">
        <f t="shared" si="12"/>
        <v>-0.66004002539999984</v>
      </c>
      <c r="L64">
        <f t="shared" si="13"/>
        <v>13.87972462602</v>
      </c>
      <c r="M64">
        <f t="shared" si="13"/>
        <v>4.85202984926</v>
      </c>
      <c r="N64">
        <f t="shared" si="13"/>
        <v>-0.72604402793999989</v>
      </c>
      <c r="Q64" s="280"/>
      <c r="R64" s="280"/>
      <c r="S64" s="280"/>
    </row>
    <row r="65" spans="1:19" ht="16" x14ac:dyDescent="0.2">
      <c r="A65" s="289" t="s">
        <v>243</v>
      </c>
      <c r="B65" s="289" t="s">
        <v>238</v>
      </c>
      <c r="C65" s="289">
        <v>7.2482841133000004</v>
      </c>
      <c r="D65" s="289">
        <v>-6.7463431384000003</v>
      </c>
      <c r="E65" s="282">
        <v>2.2348768696000001E-15</v>
      </c>
      <c r="F65" s="289">
        <v>0</v>
      </c>
      <c r="G65" s="281">
        <v>0.5019409749</v>
      </c>
      <c r="I65">
        <f t="shared" si="10"/>
        <v>7.2482841133000004</v>
      </c>
      <c r="J65">
        <f t="shared" si="11"/>
        <v>2.2348768696000001E-15</v>
      </c>
      <c r="K65">
        <f t="shared" si="12"/>
        <v>-6.7463431384000003</v>
      </c>
      <c r="L65">
        <f t="shared" si="13"/>
        <v>7.9731125246300012</v>
      </c>
      <c r="M65">
        <f t="shared" si="13"/>
        <v>2.4583645565600004E-15</v>
      </c>
      <c r="N65">
        <f t="shared" si="13"/>
        <v>-7.4209774522400007</v>
      </c>
      <c r="Q65" s="280"/>
      <c r="R65" s="280"/>
      <c r="S65" s="280"/>
    </row>
    <row r="66" spans="1:19" ht="16" x14ac:dyDescent="0.2">
      <c r="A66" s="289" t="s">
        <v>244</v>
      </c>
      <c r="B66" s="289" t="s">
        <v>238</v>
      </c>
      <c r="C66" s="289">
        <v>5.3789363249999997</v>
      </c>
      <c r="D66" s="289">
        <v>5.9343154699999998E-2</v>
      </c>
      <c r="E66" s="289">
        <v>3.468836805</v>
      </c>
      <c r="F66" s="289">
        <v>5.0688173114000001</v>
      </c>
      <c r="G66" s="281">
        <v>13.975933596200001</v>
      </c>
      <c r="I66">
        <f t="shared" si="10"/>
        <v>5.3789363249999997</v>
      </c>
      <c r="J66">
        <f t="shared" si="11"/>
        <v>3.468836805</v>
      </c>
      <c r="K66">
        <f t="shared" si="12"/>
        <v>5.1281604660999998</v>
      </c>
      <c r="L66">
        <f t="shared" si="13"/>
        <v>5.9168299575000001</v>
      </c>
      <c r="M66">
        <f t="shared" si="13"/>
        <v>3.8157204855000004</v>
      </c>
      <c r="N66">
        <f t="shared" si="13"/>
        <v>5.64097651271</v>
      </c>
      <c r="Q66" s="280"/>
      <c r="R66" s="280"/>
      <c r="S66" s="280"/>
    </row>
    <row r="67" spans="1:19" ht="16" x14ac:dyDescent="0.2">
      <c r="A67" s="289" t="s">
        <v>245</v>
      </c>
      <c r="B67" s="289" t="s">
        <v>246</v>
      </c>
      <c r="C67" s="282">
        <v>3.8438565134000002E-6</v>
      </c>
      <c r="D67" s="282">
        <v>7.0423525770999994E-8</v>
      </c>
      <c r="E67" s="282">
        <v>5.5322832162000004E-7</v>
      </c>
      <c r="F67" s="282">
        <v>-7.9987851941000007E-8</v>
      </c>
      <c r="G67" s="293">
        <v>4.3875205087999999E-6</v>
      </c>
      <c r="I67">
        <f t="shared" si="10"/>
        <v>3.8438565134000002E-6</v>
      </c>
      <c r="J67">
        <f t="shared" si="11"/>
        <v>5.5322832162000004E-7</v>
      </c>
      <c r="K67">
        <f t="shared" si="12"/>
        <v>-9.5643261700000123E-9</v>
      </c>
      <c r="L67">
        <f t="shared" si="13"/>
        <v>4.2282421647400007E-6</v>
      </c>
      <c r="M67">
        <f t="shared" si="13"/>
        <v>6.0855115378200012E-7</v>
      </c>
      <c r="N67">
        <f t="shared" si="13"/>
        <v>-1.0520758787000014E-8</v>
      </c>
      <c r="Q67" s="280"/>
      <c r="R67" s="280"/>
      <c r="S67" s="282"/>
    </row>
    <row r="68" spans="1:19" ht="16" x14ac:dyDescent="0.2">
      <c r="A68" s="289" t="s">
        <v>247</v>
      </c>
      <c r="B68" s="289" t="s">
        <v>238</v>
      </c>
      <c r="C68" s="289">
        <v>20.270124938199999</v>
      </c>
      <c r="D68" s="289">
        <v>0.92847202510000004</v>
      </c>
      <c r="E68" s="289">
        <v>4.0163997682000003</v>
      </c>
      <c r="F68" s="289">
        <v>-4.333545033</v>
      </c>
      <c r="G68" s="281">
        <v>20.881451697999999</v>
      </c>
      <c r="I68">
        <f t="shared" si="10"/>
        <v>20.270124938199999</v>
      </c>
      <c r="J68">
        <f t="shared" si="11"/>
        <v>4.0163997682000003</v>
      </c>
      <c r="K68">
        <f t="shared" si="12"/>
        <v>-3.4050730079</v>
      </c>
      <c r="L68">
        <f t="shared" si="13"/>
        <v>22.297137432020001</v>
      </c>
      <c r="M68">
        <f t="shared" si="13"/>
        <v>4.4180397450200006</v>
      </c>
      <c r="N68">
        <f t="shared" si="13"/>
        <v>-3.7455803086900001</v>
      </c>
      <c r="Q68" s="280"/>
      <c r="R68" s="280"/>
      <c r="S68" s="280"/>
    </row>
    <row r="69" spans="1:19" ht="16" x14ac:dyDescent="0.2">
      <c r="Q69" s="280"/>
      <c r="R69" s="280"/>
      <c r="S69" s="280"/>
    </row>
    <row r="70" spans="1:19" ht="16" x14ac:dyDescent="0.2">
      <c r="A70" s="284" t="s">
        <v>252</v>
      </c>
      <c r="B70" s="283"/>
      <c r="C70" s="283"/>
      <c r="D70" s="283"/>
      <c r="E70" s="283"/>
      <c r="F70" s="283"/>
      <c r="G70" s="283"/>
      <c r="I70" s="276" t="s">
        <v>215</v>
      </c>
      <c r="J70" s="276" t="s">
        <v>26</v>
      </c>
      <c r="K70" s="276" t="s">
        <v>216</v>
      </c>
      <c r="L70" s="277" t="s">
        <v>217</v>
      </c>
      <c r="M70" s="277" t="s">
        <v>218</v>
      </c>
      <c r="N70" s="277" t="s">
        <v>219</v>
      </c>
      <c r="Q70" s="280"/>
      <c r="R70" s="280"/>
      <c r="S70" s="282"/>
    </row>
    <row r="71" spans="1:19" ht="18" x14ac:dyDescent="0.25">
      <c r="A71" s="278" t="s">
        <v>220</v>
      </c>
      <c r="B71" s="278" t="s">
        <v>221</v>
      </c>
      <c r="C71" s="278" t="s">
        <v>222</v>
      </c>
      <c r="D71" s="278" t="s">
        <v>223</v>
      </c>
      <c r="E71" s="278" t="s">
        <v>224</v>
      </c>
      <c r="F71" s="278" t="s">
        <v>225</v>
      </c>
      <c r="G71" s="279" t="s">
        <v>226</v>
      </c>
      <c r="Q71" s="278"/>
      <c r="R71" s="278"/>
      <c r="S71" s="278"/>
    </row>
    <row r="72" spans="1:19" ht="16" x14ac:dyDescent="0.2">
      <c r="A72" s="289" t="s">
        <v>227</v>
      </c>
      <c r="B72" s="289" t="s">
        <v>228</v>
      </c>
      <c r="C72" s="289">
        <v>-0.2333202908</v>
      </c>
      <c r="D72" s="289">
        <v>0.45059173479999998</v>
      </c>
      <c r="E72" s="289">
        <v>5.5794706700000002E-2</v>
      </c>
      <c r="F72" s="289">
        <v>-0.17801640899999999</v>
      </c>
      <c r="G72" s="281">
        <v>9.5049741699999996E-2</v>
      </c>
      <c r="I72">
        <f>C72</f>
        <v>-0.2333202908</v>
      </c>
      <c r="J72">
        <f>E72</f>
        <v>5.5794706700000002E-2</v>
      </c>
      <c r="K72">
        <f>D72+F72</f>
        <v>0.27257532579999999</v>
      </c>
      <c r="L72">
        <f t="shared" ref="L72:N85" si="14">I72*1.1</f>
        <v>-0.25665231988000003</v>
      </c>
      <c r="M72">
        <f t="shared" si="14"/>
        <v>6.1374177370000005E-2</v>
      </c>
      <c r="N72">
        <f t="shared" si="14"/>
        <v>0.29983285838000001</v>
      </c>
      <c r="Q72" s="280"/>
      <c r="R72" s="280"/>
      <c r="S72" s="280"/>
    </row>
    <row r="73" spans="1:19" ht="16" x14ac:dyDescent="0.2">
      <c r="A73" s="289" t="s">
        <v>229</v>
      </c>
      <c r="B73" s="289" t="s">
        <v>230</v>
      </c>
      <c r="C73" s="282">
        <v>1.0002495073000001E-8</v>
      </c>
      <c r="D73" s="282">
        <v>3.4319694368000002E-10</v>
      </c>
      <c r="E73" s="282">
        <v>3.1059064613999999E-10</v>
      </c>
      <c r="F73" s="282">
        <v>-2.3732413534E-8</v>
      </c>
      <c r="G73" s="293">
        <v>-1.3076130871E-8</v>
      </c>
      <c r="I73">
        <f t="shared" ref="I73:I85" si="15">C73</f>
        <v>1.0002495073000001E-8</v>
      </c>
      <c r="J73">
        <f t="shared" ref="J73:J85" si="16">E73</f>
        <v>3.1059064613999999E-10</v>
      </c>
      <c r="K73">
        <f t="shared" ref="K73:K84" si="17">D73+F73</f>
        <v>-2.338921659032E-8</v>
      </c>
      <c r="L73">
        <f t="shared" si="14"/>
        <v>1.1002744580300001E-8</v>
      </c>
      <c r="M73">
        <f t="shared" si="14"/>
        <v>3.41649710754E-10</v>
      </c>
      <c r="N73">
        <f t="shared" si="14"/>
        <v>-2.5728138249352002E-8</v>
      </c>
      <c r="Q73" s="280"/>
      <c r="R73" s="280"/>
      <c r="S73" s="282"/>
    </row>
    <row r="74" spans="1:19" ht="16" x14ac:dyDescent="0.2">
      <c r="A74" s="289" t="s">
        <v>231</v>
      </c>
      <c r="B74" s="289" t="s">
        <v>232</v>
      </c>
      <c r="C74" s="282">
        <v>1.1505016760999999E-4</v>
      </c>
      <c r="D74" s="282">
        <v>1.3571653705E-6</v>
      </c>
      <c r="E74" s="282">
        <v>5.6346270775000002E-5</v>
      </c>
      <c r="F74" s="282">
        <v>-7.9867270276999999E-6</v>
      </c>
      <c r="G74" s="293">
        <v>1.6476687672999999E-4</v>
      </c>
      <c r="I74">
        <f t="shared" si="15"/>
        <v>1.1505016760999999E-4</v>
      </c>
      <c r="J74">
        <f t="shared" si="16"/>
        <v>5.6346270775000002E-5</v>
      </c>
      <c r="K74">
        <f t="shared" si="17"/>
        <v>-6.6295616571999999E-6</v>
      </c>
      <c r="L74">
        <f t="shared" si="14"/>
        <v>1.26555184371E-4</v>
      </c>
      <c r="M74">
        <f t="shared" si="14"/>
        <v>6.1980897852500003E-5</v>
      </c>
      <c r="N74">
        <f t="shared" si="14"/>
        <v>-7.2925178229200003E-6</v>
      </c>
      <c r="Q74" s="280"/>
      <c r="R74" s="280"/>
      <c r="S74" s="282"/>
    </row>
    <row r="75" spans="1:19" ht="16" x14ac:dyDescent="0.2">
      <c r="A75" s="289" t="s">
        <v>233</v>
      </c>
      <c r="B75" s="289" t="s">
        <v>234</v>
      </c>
      <c r="C75" s="282">
        <v>5.8584292347999998E-4</v>
      </c>
      <c r="D75" s="282">
        <v>1.5921685241999999E-5</v>
      </c>
      <c r="E75" s="282">
        <v>2.8015127731000002E-4</v>
      </c>
      <c r="F75" s="282">
        <v>-1.6432166803999999E-4</v>
      </c>
      <c r="G75" s="293">
        <v>7.1759421798999997E-4</v>
      </c>
      <c r="I75">
        <f t="shared" si="15"/>
        <v>5.8584292347999998E-4</v>
      </c>
      <c r="J75">
        <f t="shared" si="16"/>
        <v>2.8015127731000002E-4</v>
      </c>
      <c r="K75">
        <f t="shared" si="17"/>
        <v>-1.4839998279799998E-4</v>
      </c>
      <c r="L75">
        <f t="shared" si="14"/>
        <v>6.4442721582800005E-4</v>
      </c>
      <c r="M75">
        <f t="shared" si="14"/>
        <v>3.0816640504100005E-4</v>
      </c>
      <c r="N75">
        <f t="shared" si="14"/>
        <v>-1.632399810778E-4</v>
      </c>
      <c r="Q75" s="280"/>
      <c r="R75" s="280"/>
      <c r="S75" s="282"/>
    </row>
    <row r="76" spans="1:19" ht="16" x14ac:dyDescent="0.2">
      <c r="A76" s="289" t="s">
        <v>235</v>
      </c>
      <c r="B76" s="289" t="s">
        <v>236</v>
      </c>
      <c r="C76" s="282">
        <v>1.0949654603000001E-4</v>
      </c>
      <c r="D76" s="282">
        <v>2.4053258000999999E-6</v>
      </c>
      <c r="E76" s="282">
        <v>6.3430217476999999E-5</v>
      </c>
      <c r="F76" s="282">
        <v>-1.0841135404E-6</v>
      </c>
      <c r="G76" s="293">
        <v>1.7424797577E-4</v>
      </c>
      <c r="I76">
        <f t="shared" si="15"/>
        <v>1.0949654603000001E-4</v>
      </c>
      <c r="J76">
        <f t="shared" si="16"/>
        <v>6.3430217476999999E-5</v>
      </c>
      <c r="K76">
        <f t="shared" si="17"/>
        <v>1.3212122596999999E-6</v>
      </c>
      <c r="L76">
        <f t="shared" si="14"/>
        <v>1.2044620063300002E-4</v>
      </c>
      <c r="M76">
        <f t="shared" si="14"/>
        <v>6.9773239224700011E-5</v>
      </c>
      <c r="N76">
        <f t="shared" si="14"/>
        <v>1.45333348567E-6</v>
      </c>
      <c r="Q76" s="280"/>
      <c r="R76" s="280"/>
      <c r="S76" s="282"/>
    </row>
    <row r="77" spans="1:19" ht="16" x14ac:dyDescent="0.2">
      <c r="A77" s="289" t="s">
        <v>237</v>
      </c>
      <c r="B77" s="289" t="s">
        <v>238</v>
      </c>
      <c r="C77" s="289">
        <v>9.8464593895999997</v>
      </c>
      <c r="D77" s="289">
        <v>-4.3131607943999999</v>
      </c>
      <c r="E77" s="289">
        <v>2.9675542425999999</v>
      </c>
      <c r="F77" s="289">
        <v>-6.8182876399999995E-2</v>
      </c>
      <c r="G77" s="281">
        <v>8.4326699615000003</v>
      </c>
      <c r="I77">
        <f t="shared" si="15"/>
        <v>9.8464593895999997</v>
      </c>
      <c r="J77">
        <f t="shared" si="16"/>
        <v>2.9675542425999999</v>
      </c>
      <c r="K77">
        <f t="shared" si="17"/>
        <v>-4.3813436707999998</v>
      </c>
      <c r="L77">
        <f t="shared" si="14"/>
        <v>10.83110532856</v>
      </c>
      <c r="M77">
        <f t="shared" si="14"/>
        <v>3.26430966686</v>
      </c>
      <c r="N77">
        <f t="shared" si="14"/>
        <v>-4.8194780378799997</v>
      </c>
      <c r="Q77" s="280"/>
      <c r="R77" s="280"/>
      <c r="S77" s="280"/>
    </row>
    <row r="78" spans="1:19" ht="16" x14ac:dyDescent="0.2">
      <c r="A78" s="289" t="s">
        <v>239</v>
      </c>
      <c r="B78" s="289" t="s">
        <v>238</v>
      </c>
      <c r="C78" s="289">
        <v>3.8052352702999999</v>
      </c>
      <c r="D78" s="289">
        <v>-3.0071781700000001E-2</v>
      </c>
      <c r="E78" s="289">
        <v>0.59583463569999995</v>
      </c>
      <c r="F78" s="289">
        <v>-4.0444972932000001</v>
      </c>
      <c r="G78" s="281">
        <v>0.32650083120000001</v>
      </c>
      <c r="I78">
        <f t="shared" si="15"/>
        <v>3.8052352702999999</v>
      </c>
      <c r="J78">
        <f t="shared" si="16"/>
        <v>0.59583463569999995</v>
      </c>
      <c r="K78">
        <f t="shared" si="17"/>
        <v>-4.0745690749000003</v>
      </c>
      <c r="L78">
        <f t="shared" si="14"/>
        <v>4.1857587973300001</v>
      </c>
      <c r="M78">
        <f t="shared" si="14"/>
        <v>0.65541809926999994</v>
      </c>
      <c r="N78">
        <f t="shared" si="14"/>
        <v>-4.4820259823900006</v>
      </c>
      <c r="Q78" s="280"/>
      <c r="R78" s="280"/>
      <c r="S78" s="280"/>
    </row>
    <row r="79" spans="1:19" ht="16" x14ac:dyDescent="0.2">
      <c r="A79" s="289" t="s">
        <v>240</v>
      </c>
      <c r="B79" s="289" t="s">
        <v>238</v>
      </c>
      <c r="C79" s="289">
        <v>0.40346114280000001</v>
      </c>
      <c r="D79" s="289">
        <v>-0.14490511449999999</v>
      </c>
      <c r="E79" s="289">
        <v>0.25854722489999998</v>
      </c>
      <c r="F79" s="289">
        <v>0</v>
      </c>
      <c r="G79" s="281">
        <v>0.51710325310000005</v>
      </c>
      <c r="I79">
        <f t="shared" si="15"/>
        <v>0.40346114280000001</v>
      </c>
      <c r="J79">
        <f t="shared" si="16"/>
        <v>0.25854722489999998</v>
      </c>
      <c r="K79">
        <f t="shared" si="17"/>
        <v>-0.14490511449999999</v>
      </c>
      <c r="L79">
        <f t="shared" si="14"/>
        <v>0.44380725708000002</v>
      </c>
      <c r="M79">
        <f t="shared" si="14"/>
        <v>0.28440194739000002</v>
      </c>
      <c r="N79">
        <f t="shared" si="14"/>
        <v>-0.15939562595000001</v>
      </c>
      <c r="Q79" s="280"/>
      <c r="R79" s="280"/>
      <c r="S79" s="280"/>
    </row>
    <row r="80" spans="1:19" ht="16" x14ac:dyDescent="0.2">
      <c r="A80" s="289" t="s">
        <v>241</v>
      </c>
      <c r="B80" s="289" t="s">
        <v>238</v>
      </c>
      <c r="C80" s="289">
        <v>3.4008710208999999</v>
      </c>
      <c r="D80" s="289">
        <v>9.1408436499999995E-2</v>
      </c>
      <c r="E80" s="289">
        <v>0.61027045560000004</v>
      </c>
      <c r="F80" s="289">
        <v>-3.7484582479999999</v>
      </c>
      <c r="G80" s="281">
        <v>0.354091665</v>
      </c>
      <c r="I80">
        <f t="shared" si="15"/>
        <v>3.4008710208999999</v>
      </c>
      <c r="J80">
        <f t="shared" si="16"/>
        <v>0.61027045560000004</v>
      </c>
      <c r="K80">
        <f t="shared" si="17"/>
        <v>-3.6570498114999999</v>
      </c>
      <c r="L80">
        <f t="shared" si="14"/>
        <v>3.7409581229900004</v>
      </c>
      <c r="M80">
        <f t="shared" si="14"/>
        <v>0.67129750116000009</v>
      </c>
      <c r="N80">
        <f t="shared" si="14"/>
        <v>-4.0227547926499998</v>
      </c>
      <c r="Q80" s="280"/>
      <c r="R80" s="280"/>
      <c r="S80" s="280"/>
    </row>
    <row r="81" spans="1:19" ht="16" x14ac:dyDescent="0.2">
      <c r="A81" s="289" t="s">
        <v>242</v>
      </c>
      <c r="B81" s="289" t="s">
        <v>238</v>
      </c>
      <c r="C81" s="289">
        <v>6.0412241192999998</v>
      </c>
      <c r="D81" s="289">
        <v>-4.2830890126999996</v>
      </c>
      <c r="E81" s="289">
        <v>2.3717196069000002</v>
      </c>
      <c r="F81" s="289">
        <v>3.9763144168000002</v>
      </c>
      <c r="G81" s="281">
        <v>8.1061691302999996</v>
      </c>
      <c r="I81">
        <f t="shared" si="15"/>
        <v>6.0412241192999998</v>
      </c>
      <c r="J81">
        <f t="shared" si="16"/>
        <v>2.3717196069000002</v>
      </c>
      <c r="K81">
        <f t="shared" si="17"/>
        <v>-0.30677459589999945</v>
      </c>
      <c r="L81">
        <f t="shared" si="14"/>
        <v>6.6453465312300004</v>
      </c>
      <c r="M81">
        <f t="shared" si="14"/>
        <v>2.6088915675900002</v>
      </c>
      <c r="N81">
        <f t="shared" si="14"/>
        <v>-0.3374520554899994</v>
      </c>
      <c r="Q81" s="280"/>
      <c r="R81" s="280"/>
      <c r="S81" s="280"/>
    </row>
    <row r="82" spans="1:19" ht="16" x14ac:dyDescent="0.2">
      <c r="A82" s="289" t="s">
        <v>243</v>
      </c>
      <c r="B82" s="289" t="s">
        <v>238</v>
      </c>
      <c r="C82" s="289">
        <v>4.6763275274999998</v>
      </c>
      <c r="D82" s="289">
        <v>-4.5635756379999997</v>
      </c>
      <c r="E82" s="289">
        <v>0.11363057729999999</v>
      </c>
      <c r="F82" s="289">
        <v>0</v>
      </c>
      <c r="G82" s="281">
        <v>0.22638246679999999</v>
      </c>
      <c r="I82">
        <f t="shared" si="15"/>
        <v>4.6763275274999998</v>
      </c>
      <c r="J82">
        <f t="shared" si="16"/>
        <v>0.11363057729999999</v>
      </c>
      <c r="K82">
        <f t="shared" si="17"/>
        <v>-4.5635756379999997</v>
      </c>
      <c r="L82">
        <f t="shared" si="14"/>
        <v>5.14396028025</v>
      </c>
      <c r="M82">
        <f t="shared" si="14"/>
        <v>0.12499363503000001</v>
      </c>
      <c r="N82">
        <f t="shared" si="14"/>
        <v>-5.0199332017999998</v>
      </c>
      <c r="Q82" s="280"/>
      <c r="R82" s="280"/>
      <c r="S82" s="280"/>
    </row>
    <row r="83" spans="1:19" ht="16" x14ac:dyDescent="0.2">
      <c r="A83" s="289" t="s">
        <v>244</v>
      </c>
      <c r="B83" s="289" t="s">
        <v>238</v>
      </c>
      <c r="C83" s="289">
        <v>1.3536776996</v>
      </c>
      <c r="D83" s="282">
        <v>7.5035804485000003E-3</v>
      </c>
      <c r="E83" s="289">
        <v>2.0318635536</v>
      </c>
      <c r="F83" s="289">
        <v>4.0227953135999996</v>
      </c>
      <c r="G83" s="281">
        <v>7.4158401473</v>
      </c>
      <c r="I83">
        <f t="shared" si="15"/>
        <v>1.3536776996</v>
      </c>
      <c r="J83">
        <f t="shared" si="16"/>
        <v>2.0318635536</v>
      </c>
      <c r="K83">
        <f t="shared" si="17"/>
        <v>4.0302988940484994</v>
      </c>
      <c r="L83">
        <f t="shared" si="14"/>
        <v>1.4890454695600002</v>
      </c>
      <c r="M83">
        <f t="shared" si="14"/>
        <v>2.2350499089600002</v>
      </c>
      <c r="N83">
        <f t="shared" si="14"/>
        <v>4.4333287834533497</v>
      </c>
      <c r="Q83" s="280"/>
      <c r="R83" s="280"/>
      <c r="S83" s="280"/>
    </row>
    <row r="84" spans="1:19" ht="16" x14ac:dyDescent="0.2">
      <c r="A84" s="289" t="s">
        <v>245</v>
      </c>
      <c r="B84" s="289" t="s">
        <v>246</v>
      </c>
      <c r="C84" s="282">
        <v>8.0256369447000001E-7</v>
      </c>
      <c r="D84" s="282">
        <v>3.9040132030000003E-9</v>
      </c>
      <c r="E84" s="282">
        <v>1.3778090958000001E-7</v>
      </c>
      <c r="F84" s="282">
        <v>-1.5168724382999999E-8</v>
      </c>
      <c r="G84" s="293">
        <v>9.2907989286999996E-7</v>
      </c>
      <c r="I84">
        <f t="shared" si="15"/>
        <v>8.0256369447000001E-7</v>
      </c>
      <c r="J84">
        <f t="shared" si="16"/>
        <v>1.3778090958000001E-7</v>
      </c>
      <c r="K84">
        <f t="shared" si="17"/>
        <v>-1.126471118E-8</v>
      </c>
      <c r="L84">
        <f t="shared" si="14"/>
        <v>8.8282006391700007E-7</v>
      </c>
      <c r="M84">
        <f t="shared" si="14"/>
        <v>1.5155900053800003E-7</v>
      </c>
      <c r="N84">
        <f t="shared" si="14"/>
        <v>-1.2391182298E-8</v>
      </c>
      <c r="Q84" s="280"/>
      <c r="R84" s="280"/>
      <c r="S84" s="282"/>
    </row>
    <row r="85" spans="1:19" ht="16" x14ac:dyDescent="0.2">
      <c r="A85" s="289" t="s">
        <v>247</v>
      </c>
      <c r="B85" s="289" t="s">
        <v>238</v>
      </c>
      <c r="C85" s="289">
        <v>3.0346570718999999</v>
      </c>
      <c r="D85" s="289">
        <v>4.1975654899999999E-2</v>
      </c>
      <c r="E85" s="289">
        <v>1.0825883645000001</v>
      </c>
      <c r="F85" s="289">
        <v>-2.1078169809</v>
      </c>
      <c r="G85" s="281">
        <v>2.0514041105</v>
      </c>
      <c r="I85">
        <f t="shared" si="15"/>
        <v>3.0346570718999999</v>
      </c>
      <c r="J85">
        <f t="shared" si="16"/>
        <v>1.0825883645000001</v>
      </c>
      <c r="K85">
        <f>D85+F85</f>
        <v>-2.0658413260000001</v>
      </c>
      <c r="L85">
        <f t="shared" si="14"/>
        <v>3.3381227790900003</v>
      </c>
      <c r="M85">
        <f t="shared" si="14"/>
        <v>1.1908472009500002</v>
      </c>
      <c r="N85">
        <f>K85*1.1</f>
        <v>-2.2724254586000003</v>
      </c>
      <c r="Q85" s="280"/>
      <c r="R85" s="280"/>
      <c r="S85" s="280"/>
    </row>
    <row r="86" spans="1:19" ht="16" x14ac:dyDescent="0.2">
      <c r="Q86" s="280"/>
      <c r="R86" s="280"/>
      <c r="S86" s="280"/>
    </row>
    <row r="87" spans="1:19" ht="16" x14ac:dyDescent="0.2">
      <c r="A87" s="284" t="s">
        <v>253</v>
      </c>
      <c r="B87" s="283"/>
      <c r="C87" s="283"/>
      <c r="D87" s="283"/>
      <c r="E87" s="283"/>
      <c r="F87" s="283"/>
      <c r="G87" s="283"/>
      <c r="I87" s="276" t="s">
        <v>215</v>
      </c>
      <c r="J87" s="276" t="s">
        <v>26</v>
      </c>
      <c r="K87" s="276" t="s">
        <v>216</v>
      </c>
      <c r="L87" s="277" t="s">
        <v>217</v>
      </c>
      <c r="M87" s="277" t="s">
        <v>218</v>
      </c>
      <c r="N87" s="277" t="s">
        <v>219</v>
      </c>
    </row>
    <row r="88" spans="1:19" ht="18" x14ac:dyDescent="0.25">
      <c r="A88" s="278" t="s">
        <v>220</v>
      </c>
      <c r="B88" s="278" t="s">
        <v>221</v>
      </c>
      <c r="C88" s="278" t="s">
        <v>222</v>
      </c>
      <c r="D88" s="278" t="s">
        <v>223</v>
      </c>
      <c r="E88" s="278" t="s">
        <v>224</v>
      </c>
      <c r="F88" s="278" t="s">
        <v>225</v>
      </c>
      <c r="G88" s="279" t="s">
        <v>226</v>
      </c>
      <c r="Q88" s="278"/>
      <c r="R88" s="278"/>
      <c r="S88" s="278"/>
    </row>
    <row r="89" spans="1:19" ht="16" x14ac:dyDescent="0.2">
      <c r="A89" s="289" t="s">
        <v>227</v>
      </c>
      <c r="B89" s="289" t="s">
        <v>228</v>
      </c>
      <c r="C89" s="289">
        <v>2.1022848100000002E-2</v>
      </c>
      <c r="D89" s="282">
        <v>1.4167915883000001E-4</v>
      </c>
      <c r="E89" s="289">
        <v>4.2329054499999998E-2</v>
      </c>
      <c r="F89" s="289">
        <v>0</v>
      </c>
      <c r="G89" s="281">
        <v>6.3493581699999996E-2</v>
      </c>
      <c r="I89">
        <f>C89</f>
        <v>2.1022848100000002E-2</v>
      </c>
      <c r="J89">
        <f>E89</f>
        <v>4.2329054499999998E-2</v>
      </c>
      <c r="K89">
        <f>D89+F89</f>
        <v>1.4167915883000001E-4</v>
      </c>
      <c r="L89">
        <f t="shared" ref="L89:N102" si="18">I89*1.1</f>
        <v>2.3125132910000002E-2</v>
      </c>
      <c r="M89">
        <f t="shared" si="18"/>
        <v>4.6561959950000002E-2</v>
      </c>
      <c r="N89">
        <f t="shared" si="18"/>
        <v>1.5584707471300003E-4</v>
      </c>
      <c r="Q89" s="280"/>
      <c r="R89" s="280"/>
      <c r="S89" s="280"/>
    </row>
    <row r="90" spans="1:19" ht="16" x14ac:dyDescent="0.2">
      <c r="A90" s="289" t="s">
        <v>229</v>
      </c>
      <c r="B90" s="289" t="s">
        <v>230</v>
      </c>
      <c r="C90" s="282">
        <v>2.8014753271999997E-13</v>
      </c>
      <c r="D90" s="282">
        <v>2.2646353604999999E-15</v>
      </c>
      <c r="E90" s="282">
        <v>5.6482433616000001E-13</v>
      </c>
      <c r="F90" s="289">
        <v>0</v>
      </c>
      <c r="G90" s="293">
        <v>8.4723650424000002E-13</v>
      </c>
      <c r="I90">
        <f t="shared" ref="I90:I101" si="19">C90</f>
        <v>2.8014753271999997E-13</v>
      </c>
      <c r="J90">
        <f t="shared" ref="J90:J102" si="20">E90</f>
        <v>5.6482433616000001E-13</v>
      </c>
      <c r="K90">
        <f t="shared" ref="K90:K101" si="21">D90+F90</f>
        <v>2.2646353604999999E-15</v>
      </c>
      <c r="L90">
        <f t="shared" si="18"/>
        <v>3.0816228599199999E-13</v>
      </c>
      <c r="M90">
        <f t="shared" si="18"/>
        <v>6.2130676977600007E-13</v>
      </c>
      <c r="N90">
        <f t="shared" si="18"/>
        <v>2.49109889655E-15</v>
      </c>
      <c r="Q90" s="280"/>
      <c r="R90" s="280"/>
      <c r="S90" s="282"/>
    </row>
    <row r="91" spans="1:19" ht="16" x14ac:dyDescent="0.2">
      <c r="A91" s="289" t="s">
        <v>231</v>
      </c>
      <c r="B91" s="289" t="s">
        <v>232</v>
      </c>
      <c r="C91" s="282">
        <v>2.4871469813999998E-6</v>
      </c>
      <c r="D91" s="282">
        <v>8.0631100596999999E-8</v>
      </c>
      <c r="E91" s="282">
        <v>5.1355561640000002E-6</v>
      </c>
      <c r="F91" s="289">
        <v>0</v>
      </c>
      <c r="G91" s="293">
        <v>7.7033342460000004E-6</v>
      </c>
      <c r="I91">
        <f t="shared" si="19"/>
        <v>2.4871469813999998E-6</v>
      </c>
      <c r="J91">
        <f t="shared" si="20"/>
        <v>5.1355561640000002E-6</v>
      </c>
      <c r="K91">
        <f t="shared" si="21"/>
        <v>8.0631100596999999E-8</v>
      </c>
      <c r="L91">
        <f t="shared" si="18"/>
        <v>2.73586167954E-6</v>
      </c>
      <c r="M91">
        <f t="shared" si="18"/>
        <v>5.6491117804000009E-6</v>
      </c>
      <c r="N91">
        <f t="shared" si="18"/>
        <v>8.8694210656700006E-8</v>
      </c>
      <c r="Q91" s="280"/>
      <c r="R91" s="280"/>
      <c r="S91" s="282"/>
    </row>
    <row r="92" spans="1:19" ht="16" x14ac:dyDescent="0.2">
      <c r="A92" s="289" t="s">
        <v>233</v>
      </c>
      <c r="B92" s="289" t="s">
        <v>234</v>
      </c>
      <c r="C92" s="282">
        <v>1.8477561445999998E-5</v>
      </c>
      <c r="D92" s="282">
        <v>8.5955567291999999E-7</v>
      </c>
      <c r="E92" s="282">
        <v>3.8674234238999998E-5</v>
      </c>
      <c r="F92" s="289">
        <v>0</v>
      </c>
      <c r="G92" s="293">
        <v>5.8011351357999997E-5</v>
      </c>
      <c r="I92">
        <f t="shared" si="19"/>
        <v>1.8477561445999998E-5</v>
      </c>
      <c r="J92">
        <f t="shared" si="20"/>
        <v>3.8674234238999998E-5</v>
      </c>
      <c r="K92">
        <f t="shared" si="21"/>
        <v>8.5955567291999999E-7</v>
      </c>
      <c r="L92">
        <f t="shared" si="18"/>
        <v>2.0325317590600001E-5</v>
      </c>
      <c r="M92">
        <f t="shared" si="18"/>
        <v>4.2541657662900001E-5</v>
      </c>
      <c r="N92">
        <f t="shared" si="18"/>
        <v>9.4551124021200006E-7</v>
      </c>
      <c r="Q92" s="280"/>
      <c r="R92" s="280"/>
      <c r="S92" s="282"/>
    </row>
    <row r="93" spans="1:19" ht="16" x14ac:dyDescent="0.2">
      <c r="A93" s="289" t="s">
        <v>235</v>
      </c>
      <c r="B93" s="289" t="s">
        <v>236</v>
      </c>
      <c r="C93" s="282">
        <v>2.7748434338000002E-6</v>
      </c>
      <c r="D93" s="282">
        <v>1.1792413681E-7</v>
      </c>
      <c r="E93" s="282">
        <v>5.7855351412E-6</v>
      </c>
      <c r="F93" s="289">
        <v>0</v>
      </c>
      <c r="G93" s="293">
        <v>8.6783027118999994E-6</v>
      </c>
      <c r="I93">
        <f t="shared" si="19"/>
        <v>2.7748434338000002E-6</v>
      </c>
      <c r="J93">
        <f t="shared" si="20"/>
        <v>5.7855351412E-6</v>
      </c>
      <c r="K93">
        <f t="shared" si="21"/>
        <v>1.1792413681E-7</v>
      </c>
      <c r="L93">
        <f t="shared" si="18"/>
        <v>3.0523277771800003E-6</v>
      </c>
      <c r="M93">
        <f t="shared" si="18"/>
        <v>6.3640886553200004E-6</v>
      </c>
      <c r="N93">
        <f t="shared" si="18"/>
        <v>1.2971655049100002E-7</v>
      </c>
      <c r="Q93" s="280"/>
      <c r="R93" s="280"/>
      <c r="S93" s="282"/>
    </row>
    <row r="94" spans="1:19" ht="16" x14ac:dyDescent="0.2">
      <c r="A94" s="289" t="s">
        <v>237</v>
      </c>
      <c r="B94" s="289" t="s">
        <v>238</v>
      </c>
      <c r="C94" s="289">
        <v>0.34492214259999998</v>
      </c>
      <c r="D94" s="282">
        <v>2.1155206018000001E-3</v>
      </c>
      <c r="E94" s="289">
        <v>0.69407532650000003</v>
      </c>
      <c r="F94" s="289">
        <v>0</v>
      </c>
      <c r="G94" s="281">
        <v>1.0411129897</v>
      </c>
      <c r="I94">
        <f t="shared" si="19"/>
        <v>0.34492214259999998</v>
      </c>
      <c r="J94">
        <f t="shared" si="20"/>
        <v>0.69407532650000003</v>
      </c>
      <c r="K94">
        <f t="shared" si="21"/>
        <v>2.1155206018000001E-3</v>
      </c>
      <c r="L94">
        <f t="shared" si="18"/>
        <v>0.37941435686000002</v>
      </c>
      <c r="M94">
        <f t="shared" si="18"/>
        <v>0.76348285915000014</v>
      </c>
      <c r="N94">
        <f t="shared" si="18"/>
        <v>2.3270726619800002E-3</v>
      </c>
      <c r="Q94" s="280"/>
      <c r="R94" s="280"/>
      <c r="S94" s="280"/>
    </row>
    <row r="95" spans="1:19" ht="16" x14ac:dyDescent="0.2">
      <c r="A95" s="289" t="s">
        <v>239</v>
      </c>
      <c r="B95" s="289" t="s">
        <v>238</v>
      </c>
      <c r="C95" s="289">
        <v>0.3342864156</v>
      </c>
      <c r="D95" s="282">
        <v>1.9260516533999999E-3</v>
      </c>
      <c r="E95" s="289">
        <v>0.67242493449999996</v>
      </c>
      <c r="F95" s="289">
        <v>0</v>
      </c>
      <c r="G95" s="281">
        <v>1.0086374017999999</v>
      </c>
      <c r="I95">
        <f t="shared" si="19"/>
        <v>0.3342864156</v>
      </c>
      <c r="J95">
        <f t="shared" si="20"/>
        <v>0.67242493449999996</v>
      </c>
      <c r="K95">
        <f t="shared" si="21"/>
        <v>1.9260516533999999E-3</v>
      </c>
      <c r="L95">
        <f t="shared" si="18"/>
        <v>0.36771505716000003</v>
      </c>
      <c r="M95">
        <f t="shared" si="18"/>
        <v>0.73966742795000007</v>
      </c>
      <c r="N95">
        <f t="shared" si="18"/>
        <v>2.1186568187400003E-3</v>
      </c>
      <c r="Q95" s="280"/>
      <c r="R95" s="280"/>
      <c r="S95" s="280"/>
    </row>
    <row r="96" spans="1:19" ht="16" x14ac:dyDescent="0.2">
      <c r="A96" s="289" t="s">
        <v>240</v>
      </c>
      <c r="B96" s="289" t="s">
        <v>238</v>
      </c>
      <c r="C96" s="289">
        <v>0</v>
      </c>
      <c r="D96" s="289">
        <v>0</v>
      </c>
      <c r="E96" s="289">
        <v>0</v>
      </c>
      <c r="F96" s="289">
        <v>0</v>
      </c>
      <c r="G96" s="281">
        <v>0</v>
      </c>
      <c r="I96">
        <f t="shared" si="19"/>
        <v>0</v>
      </c>
      <c r="J96">
        <f t="shared" si="20"/>
        <v>0</v>
      </c>
      <c r="K96">
        <f t="shared" si="21"/>
        <v>0</v>
      </c>
      <c r="L96">
        <f t="shared" si="18"/>
        <v>0</v>
      </c>
      <c r="M96">
        <f t="shared" si="18"/>
        <v>0</v>
      </c>
      <c r="N96">
        <f t="shared" si="18"/>
        <v>0</v>
      </c>
      <c r="Q96" s="280"/>
      <c r="R96" s="280"/>
      <c r="S96" s="280"/>
    </row>
    <row r="97" spans="1:19" ht="16" x14ac:dyDescent="0.2">
      <c r="A97" s="289" t="s">
        <v>241</v>
      </c>
      <c r="B97" s="289" t="s">
        <v>238</v>
      </c>
      <c r="C97" s="289">
        <v>0.3342864156</v>
      </c>
      <c r="D97" s="282">
        <v>1.9260516533999999E-3</v>
      </c>
      <c r="E97" s="289">
        <v>0.67242493449999996</v>
      </c>
      <c r="F97" s="289">
        <v>0</v>
      </c>
      <c r="G97" s="281">
        <v>1.0086374017999999</v>
      </c>
      <c r="I97">
        <f t="shared" si="19"/>
        <v>0.3342864156</v>
      </c>
      <c r="J97">
        <f t="shared" si="20"/>
        <v>0.67242493449999996</v>
      </c>
      <c r="K97">
        <f t="shared" si="21"/>
        <v>1.9260516533999999E-3</v>
      </c>
      <c r="L97">
        <f t="shared" si="18"/>
        <v>0.36771505716000003</v>
      </c>
      <c r="M97">
        <f t="shared" si="18"/>
        <v>0.73966742795000007</v>
      </c>
      <c r="N97">
        <f t="shared" si="18"/>
        <v>2.1186568187400003E-3</v>
      </c>
      <c r="Q97" s="280"/>
      <c r="R97" s="280"/>
      <c r="S97" s="280"/>
    </row>
    <row r="98" spans="1:19" ht="16" x14ac:dyDescent="0.2">
      <c r="A98" s="289" t="s">
        <v>242</v>
      </c>
      <c r="B98" s="289" t="s">
        <v>238</v>
      </c>
      <c r="C98" s="289">
        <v>1.0635726999999999E-2</v>
      </c>
      <c r="D98" s="282">
        <v>1.8946894839000001E-4</v>
      </c>
      <c r="E98" s="289">
        <v>2.1650392000000001E-2</v>
      </c>
      <c r="F98" s="289">
        <v>0</v>
      </c>
      <c r="G98" s="281">
        <v>3.2475587899999998E-2</v>
      </c>
      <c r="I98">
        <f t="shared" si="19"/>
        <v>1.0635726999999999E-2</v>
      </c>
      <c r="J98">
        <f t="shared" si="20"/>
        <v>2.1650392000000001E-2</v>
      </c>
      <c r="K98">
        <f t="shared" si="21"/>
        <v>1.8946894839000001E-4</v>
      </c>
      <c r="L98">
        <f t="shared" si="18"/>
        <v>1.16992997E-2</v>
      </c>
      <c r="M98">
        <f t="shared" si="18"/>
        <v>2.3815431200000004E-2</v>
      </c>
      <c r="N98">
        <f t="shared" si="18"/>
        <v>2.0841584322900001E-4</v>
      </c>
      <c r="Q98" s="280"/>
      <c r="R98" s="280"/>
      <c r="S98" s="280"/>
    </row>
    <row r="99" spans="1:19" ht="16" x14ac:dyDescent="0.2">
      <c r="A99" s="289" t="s">
        <v>243</v>
      </c>
      <c r="B99" s="289" t="s">
        <v>238</v>
      </c>
      <c r="C99" s="289">
        <v>0</v>
      </c>
      <c r="D99" s="289">
        <v>0</v>
      </c>
      <c r="E99" s="289">
        <v>0</v>
      </c>
      <c r="F99" s="289">
        <v>0</v>
      </c>
      <c r="G99" s="281">
        <v>0</v>
      </c>
      <c r="I99">
        <f t="shared" si="19"/>
        <v>0</v>
      </c>
      <c r="J99">
        <f t="shared" si="20"/>
        <v>0</v>
      </c>
      <c r="K99">
        <f t="shared" si="21"/>
        <v>0</v>
      </c>
      <c r="L99">
        <f t="shared" si="18"/>
        <v>0</v>
      </c>
      <c r="M99">
        <f t="shared" si="18"/>
        <v>0</v>
      </c>
      <c r="N99">
        <f t="shared" si="18"/>
        <v>0</v>
      </c>
      <c r="Q99" s="280"/>
      <c r="R99" s="280"/>
      <c r="S99" s="280"/>
    </row>
    <row r="100" spans="1:19" ht="16" x14ac:dyDescent="0.2">
      <c r="A100" s="289" t="s">
        <v>244</v>
      </c>
      <c r="B100" s="289" t="s">
        <v>238</v>
      </c>
      <c r="C100" s="289">
        <v>1.0635726999999999E-2</v>
      </c>
      <c r="D100" s="282">
        <v>1.8946894839000001E-4</v>
      </c>
      <c r="E100" s="289">
        <v>2.1650392000000001E-2</v>
      </c>
      <c r="F100" s="289">
        <v>0</v>
      </c>
      <c r="G100" s="281">
        <v>3.2475587899999998E-2</v>
      </c>
      <c r="I100">
        <f t="shared" si="19"/>
        <v>1.0635726999999999E-2</v>
      </c>
      <c r="J100">
        <f t="shared" si="20"/>
        <v>2.1650392000000001E-2</v>
      </c>
      <c r="K100">
        <f t="shared" si="21"/>
        <v>1.8946894839000001E-4</v>
      </c>
      <c r="L100">
        <f t="shared" si="18"/>
        <v>1.16992997E-2</v>
      </c>
      <c r="M100">
        <f t="shared" si="18"/>
        <v>2.3815431200000004E-2</v>
      </c>
      <c r="N100">
        <f t="shared" si="18"/>
        <v>2.0841584322900001E-4</v>
      </c>
      <c r="Q100" s="280"/>
      <c r="R100" s="280"/>
      <c r="S100" s="280"/>
    </row>
    <row r="101" spans="1:19" ht="16" x14ac:dyDescent="0.2">
      <c r="A101" s="289" t="s">
        <v>245</v>
      </c>
      <c r="B101" s="289" t="s">
        <v>246</v>
      </c>
      <c r="C101" s="282">
        <v>1.5120022731000001E-9</v>
      </c>
      <c r="D101" s="282">
        <v>5.2619009155000003E-11</v>
      </c>
      <c r="E101" s="282">
        <v>3.1292425645999998E-9</v>
      </c>
      <c r="F101" s="289">
        <v>0</v>
      </c>
      <c r="G101" s="293">
        <v>4.6938638467999998E-9</v>
      </c>
      <c r="I101">
        <f t="shared" si="19"/>
        <v>1.5120022731000001E-9</v>
      </c>
      <c r="J101">
        <f t="shared" si="20"/>
        <v>3.1292425645999998E-9</v>
      </c>
      <c r="K101">
        <f t="shared" si="21"/>
        <v>5.2619009155000003E-11</v>
      </c>
      <c r="L101">
        <f t="shared" si="18"/>
        <v>1.6632025004100003E-9</v>
      </c>
      <c r="M101">
        <f t="shared" si="18"/>
        <v>3.4421668210599999E-9</v>
      </c>
      <c r="N101">
        <f t="shared" si="18"/>
        <v>5.7880910070500009E-11</v>
      </c>
      <c r="Q101" s="280"/>
      <c r="R101" s="280"/>
      <c r="S101" s="282"/>
    </row>
    <row r="102" spans="1:19" ht="16" x14ac:dyDescent="0.2">
      <c r="A102" s="289" t="s">
        <v>247</v>
      </c>
      <c r="B102" s="289" t="s">
        <v>238</v>
      </c>
      <c r="C102" s="289">
        <v>0.32432891219999999</v>
      </c>
      <c r="D102" s="282">
        <v>1.8489015915999999E-3</v>
      </c>
      <c r="E102" s="289">
        <v>0.65235562759999999</v>
      </c>
      <c r="F102" s="289">
        <v>0</v>
      </c>
      <c r="G102" s="281">
        <v>0.97853344149999999</v>
      </c>
      <c r="I102">
        <f>C102</f>
        <v>0.32432891219999999</v>
      </c>
      <c r="J102">
        <f t="shared" si="20"/>
        <v>0.65235562759999999</v>
      </c>
      <c r="K102">
        <f>D102+F102</f>
        <v>1.8489015915999999E-3</v>
      </c>
      <c r="L102">
        <f>I102*1.1</f>
        <v>0.35676180342000002</v>
      </c>
      <c r="M102">
        <f t="shared" si="18"/>
        <v>0.71759119036000008</v>
      </c>
      <c r="N102">
        <f>K102*1.1</f>
        <v>2.0337917507600002E-3</v>
      </c>
      <c r="Q102" s="280"/>
      <c r="R102" s="280"/>
      <c r="S102" s="280"/>
    </row>
    <row r="104" spans="1:19" ht="16" x14ac:dyDescent="0.2">
      <c r="A104" s="284" t="s">
        <v>254</v>
      </c>
      <c r="B104" s="283"/>
      <c r="C104" s="283"/>
      <c r="D104" s="283"/>
      <c r="E104" s="283"/>
      <c r="F104" s="283"/>
      <c r="G104" s="283"/>
      <c r="I104" s="276" t="s">
        <v>215</v>
      </c>
      <c r="J104" s="276" t="s">
        <v>26</v>
      </c>
      <c r="K104" s="276" t="s">
        <v>216</v>
      </c>
      <c r="L104" s="277" t="s">
        <v>217</v>
      </c>
      <c r="M104" s="277" t="s">
        <v>218</v>
      </c>
      <c r="N104" s="277" t="s">
        <v>219</v>
      </c>
    </row>
    <row r="105" spans="1:19" ht="18" x14ac:dyDescent="0.25">
      <c r="A105" s="278" t="s">
        <v>220</v>
      </c>
      <c r="B105" s="278" t="s">
        <v>221</v>
      </c>
      <c r="C105" s="278" t="s">
        <v>255</v>
      </c>
      <c r="D105" s="278" t="s">
        <v>256</v>
      </c>
      <c r="E105" s="278" t="s">
        <v>257</v>
      </c>
      <c r="F105" s="278" t="s">
        <v>258</v>
      </c>
      <c r="G105" s="279" t="s">
        <v>226</v>
      </c>
      <c r="R105" s="278"/>
      <c r="S105" s="278"/>
    </row>
    <row r="106" spans="1:19" ht="16" x14ac:dyDescent="0.2">
      <c r="A106" s="289" t="s">
        <v>227</v>
      </c>
      <c r="B106" s="289" t="s">
        <v>228</v>
      </c>
      <c r="C106" s="289">
        <v>0.61554695469999998</v>
      </c>
      <c r="D106" s="289">
        <v>2.8906815999999998E-2</v>
      </c>
      <c r="E106" s="289">
        <v>-5.7208520334999999</v>
      </c>
      <c r="F106" s="289">
        <v>-3.4694898309000002</v>
      </c>
      <c r="G106" s="281">
        <v>-8.5458880938000004</v>
      </c>
      <c r="I106">
        <f>C106</f>
        <v>0.61554695469999998</v>
      </c>
      <c r="J106">
        <f>E106</f>
        <v>-5.7208520334999999</v>
      </c>
      <c r="K106">
        <f>D106+F106</f>
        <v>-3.4405830149000001</v>
      </c>
      <c r="L106">
        <f t="shared" ref="L106:N119" si="22">I106*1.1</f>
        <v>0.67710165017000001</v>
      </c>
      <c r="M106">
        <f t="shared" si="22"/>
        <v>-6.2929372368500003</v>
      </c>
      <c r="N106">
        <f t="shared" si="22"/>
        <v>-3.7846413163900006</v>
      </c>
      <c r="R106" s="280"/>
      <c r="S106" s="280"/>
    </row>
    <row r="107" spans="1:19" ht="16" x14ac:dyDescent="0.2">
      <c r="A107" s="289" t="s">
        <v>229</v>
      </c>
      <c r="B107" s="289" t="s">
        <v>230</v>
      </c>
      <c r="C107" s="282">
        <v>2.0059423083000001E-8</v>
      </c>
      <c r="D107" s="282">
        <v>6.6671677376999997E-13</v>
      </c>
      <c r="E107" s="282">
        <v>3.9406422689000003E-8</v>
      </c>
      <c r="F107" s="282">
        <v>-3.5449775478999998E-10</v>
      </c>
      <c r="G107" s="293">
        <v>5.9112014733999998E-8</v>
      </c>
      <c r="I107">
        <f t="shared" ref="I107:I118" si="23">C107</f>
        <v>2.0059423083000001E-8</v>
      </c>
      <c r="J107">
        <f t="shared" ref="J107:J119" si="24">E107</f>
        <v>3.9406422689000003E-8</v>
      </c>
      <c r="K107">
        <f t="shared" ref="K107:K118" si="25">D107+F107</f>
        <v>-3.5383103801623001E-10</v>
      </c>
      <c r="L107">
        <f t="shared" si="22"/>
        <v>2.2065365391300002E-8</v>
      </c>
      <c r="M107">
        <f t="shared" si="22"/>
        <v>4.3347064957900009E-8</v>
      </c>
      <c r="N107">
        <f t="shared" si="22"/>
        <v>-3.8921414181785304E-10</v>
      </c>
      <c r="R107" s="280"/>
      <c r="S107" s="280"/>
    </row>
    <row r="108" spans="1:19" ht="16" x14ac:dyDescent="0.2">
      <c r="A108" s="289" t="s">
        <v>231</v>
      </c>
      <c r="B108" s="289" t="s">
        <v>232</v>
      </c>
      <c r="C108" s="282">
        <v>3.0966731634E-4</v>
      </c>
      <c r="D108" s="282">
        <v>5.7184209190000004E-6</v>
      </c>
      <c r="E108" s="282">
        <v>-3.2425978399999998E-4</v>
      </c>
      <c r="F108" s="282">
        <v>-4.6498968458000002E-4</v>
      </c>
      <c r="G108" s="293">
        <v>-4.7386373131999999E-4</v>
      </c>
      <c r="I108">
        <f t="shared" si="23"/>
        <v>3.0966731634E-4</v>
      </c>
      <c r="J108">
        <f t="shared" si="24"/>
        <v>-3.2425978399999998E-4</v>
      </c>
      <c r="K108">
        <f t="shared" si="25"/>
        <v>-4.5927126366100002E-4</v>
      </c>
      <c r="L108">
        <f t="shared" si="22"/>
        <v>3.4063404797400002E-4</v>
      </c>
      <c r="M108">
        <f t="shared" si="22"/>
        <v>-3.5668576239999999E-4</v>
      </c>
      <c r="N108">
        <f t="shared" si="22"/>
        <v>-5.0519839002710002E-4</v>
      </c>
      <c r="R108" s="280"/>
      <c r="S108" s="280"/>
    </row>
    <row r="109" spans="1:19" ht="16" x14ac:dyDescent="0.2">
      <c r="A109" s="289" t="s">
        <v>233</v>
      </c>
      <c r="B109" s="289" t="s">
        <v>234</v>
      </c>
      <c r="C109" s="282">
        <v>2.3797178603E-3</v>
      </c>
      <c r="D109" s="282">
        <v>7.2747786597000005E-5</v>
      </c>
      <c r="E109" s="282">
        <v>-7.4485632737000002E-3</v>
      </c>
      <c r="F109" s="282">
        <v>-6.0085344243999998E-3</v>
      </c>
      <c r="G109" s="281">
        <v>-1.10046321E-2</v>
      </c>
      <c r="I109">
        <f t="shared" si="23"/>
        <v>2.3797178603E-3</v>
      </c>
      <c r="J109">
        <f t="shared" si="24"/>
        <v>-7.4485632737000002E-3</v>
      </c>
      <c r="K109">
        <f t="shared" si="25"/>
        <v>-5.9357866378029998E-3</v>
      </c>
      <c r="L109">
        <f t="shared" si="22"/>
        <v>2.6176896463300002E-3</v>
      </c>
      <c r="M109">
        <f t="shared" si="22"/>
        <v>-8.1934196010700015E-3</v>
      </c>
      <c r="N109">
        <f t="shared" si="22"/>
        <v>-6.5293653015833005E-3</v>
      </c>
      <c r="R109" s="280"/>
      <c r="S109" s="280"/>
    </row>
    <row r="110" spans="1:19" ht="16" x14ac:dyDescent="0.2">
      <c r="A110" s="289" t="s">
        <v>235</v>
      </c>
      <c r="B110" s="289" t="s">
        <v>236</v>
      </c>
      <c r="C110" s="282">
        <v>1.8906934817000001E-4</v>
      </c>
      <c r="D110" s="282">
        <v>1.2806504030999999E-5</v>
      </c>
      <c r="E110" s="282">
        <v>-1.1324806127999999E-3</v>
      </c>
      <c r="F110" s="282">
        <v>-7.5538561854999998E-4</v>
      </c>
      <c r="G110" s="293">
        <v>-1.6859903790999999E-3</v>
      </c>
      <c r="I110">
        <f t="shared" si="23"/>
        <v>1.8906934817000001E-4</v>
      </c>
      <c r="J110">
        <f t="shared" si="24"/>
        <v>-1.1324806127999999E-3</v>
      </c>
      <c r="K110">
        <f t="shared" si="25"/>
        <v>-7.4257911451900002E-4</v>
      </c>
      <c r="L110">
        <f t="shared" si="22"/>
        <v>2.0797628298700003E-4</v>
      </c>
      <c r="M110">
        <f t="shared" si="22"/>
        <v>-1.2457286740799999E-3</v>
      </c>
      <c r="N110">
        <f t="shared" si="22"/>
        <v>-8.1683702597090007E-4</v>
      </c>
      <c r="R110" s="280"/>
      <c r="S110" s="280"/>
    </row>
    <row r="111" spans="1:19" ht="16" x14ac:dyDescent="0.2">
      <c r="A111" s="289" t="s">
        <v>237</v>
      </c>
      <c r="B111" s="289" t="s">
        <v>238</v>
      </c>
      <c r="C111" s="289">
        <v>11.4503741677</v>
      </c>
      <c r="D111" s="289">
        <v>0.20910284309999999</v>
      </c>
      <c r="E111" s="289">
        <v>-97.440009027800002</v>
      </c>
      <c r="F111" s="289">
        <v>-59.8626827995</v>
      </c>
      <c r="G111" s="281">
        <v>-145.64321481650001</v>
      </c>
      <c r="I111">
        <f t="shared" si="23"/>
        <v>11.4503741677</v>
      </c>
      <c r="J111">
        <f t="shared" si="24"/>
        <v>-97.440009027800002</v>
      </c>
      <c r="K111">
        <f t="shared" si="25"/>
        <v>-59.653579956400002</v>
      </c>
      <c r="L111">
        <f t="shared" si="22"/>
        <v>12.59541158447</v>
      </c>
      <c r="M111">
        <f t="shared" si="22"/>
        <v>-107.18400993058002</v>
      </c>
      <c r="N111">
        <f t="shared" si="22"/>
        <v>-65.618937952040014</v>
      </c>
      <c r="R111" s="280"/>
      <c r="S111" s="280"/>
    </row>
    <row r="112" spans="1:19" ht="16" x14ac:dyDescent="0.2">
      <c r="A112" s="289" t="s">
        <v>239</v>
      </c>
      <c r="B112" s="289" t="s">
        <v>238</v>
      </c>
      <c r="C112" s="289">
        <v>9.0103838699000001</v>
      </c>
      <c r="D112" s="289">
        <v>0.184000093</v>
      </c>
      <c r="E112" s="289">
        <v>-76.740291844699996</v>
      </c>
      <c r="F112" s="289">
        <v>-47.100402541500003</v>
      </c>
      <c r="G112" s="281">
        <v>-114.64631042329999</v>
      </c>
      <c r="I112">
        <f t="shared" si="23"/>
        <v>9.0103838699000001</v>
      </c>
      <c r="J112">
        <f t="shared" si="24"/>
        <v>-76.740291844699996</v>
      </c>
      <c r="K112">
        <f t="shared" si="25"/>
        <v>-46.916402448500001</v>
      </c>
      <c r="L112">
        <f t="shared" si="22"/>
        <v>9.9114222568900008</v>
      </c>
      <c r="M112">
        <f t="shared" si="22"/>
        <v>-84.414321029169997</v>
      </c>
      <c r="N112">
        <f t="shared" si="22"/>
        <v>-51.608042693350008</v>
      </c>
      <c r="R112" s="280"/>
      <c r="S112" s="280"/>
    </row>
    <row r="113" spans="1:20" ht="16" x14ac:dyDescent="0.2">
      <c r="A113" s="289" t="s">
        <v>240</v>
      </c>
      <c r="B113" s="289" t="s">
        <v>238</v>
      </c>
      <c r="C113" s="282">
        <v>3.5872797986999999E-3</v>
      </c>
      <c r="D113" s="289">
        <v>0</v>
      </c>
      <c r="E113" s="282">
        <v>7.1745595972999999E-3</v>
      </c>
      <c r="F113" s="289">
        <v>0</v>
      </c>
      <c r="G113" s="281">
        <v>1.0761839400000001E-2</v>
      </c>
      <c r="I113">
        <f t="shared" si="23"/>
        <v>3.5872797986999999E-3</v>
      </c>
      <c r="J113">
        <f t="shared" si="24"/>
        <v>7.1745595972999999E-3</v>
      </c>
      <c r="K113">
        <f t="shared" si="25"/>
        <v>0</v>
      </c>
      <c r="L113">
        <f t="shared" si="22"/>
        <v>3.9460077785699998E-3</v>
      </c>
      <c r="M113">
        <f t="shared" si="22"/>
        <v>7.8920155570300007E-3</v>
      </c>
      <c r="N113">
        <f t="shared" si="22"/>
        <v>0</v>
      </c>
      <c r="R113" s="280"/>
      <c r="S113" s="280"/>
    </row>
    <row r="114" spans="1:20" ht="16" x14ac:dyDescent="0.2">
      <c r="A114" s="289" t="s">
        <v>241</v>
      </c>
      <c r="B114" s="289" t="s">
        <v>238</v>
      </c>
      <c r="C114" s="289">
        <v>9.0067965901000004</v>
      </c>
      <c r="D114" s="289">
        <v>0.184000093</v>
      </c>
      <c r="E114" s="289">
        <v>-76.747466404299999</v>
      </c>
      <c r="F114" s="289">
        <v>-47.100402541500003</v>
      </c>
      <c r="G114" s="281">
        <v>-114.6570722627</v>
      </c>
      <c r="I114">
        <f t="shared" si="23"/>
        <v>9.0067965901000004</v>
      </c>
      <c r="J114">
        <f t="shared" si="24"/>
        <v>-76.747466404299999</v>
      </c>
      <c r="K114">
        <f t="shared" si="25"/>
        <v>-46.916402448500001</v>
      </c>
      <c r="L114">
        <f t="shared" si="22"/>
        <v>9.907476249110001</v>
      </c>
      <c r="M114">
        <f t="shared" si="22"/>
        <v>-84.42221304473</v>
      </c>
      <c r="N114">
        <f t="shared" si="22"/>
        <v>-51.608042693350008</v>
      </c>
      <c r="R114" s="280"/>
      <c r="S114" s="280"/>
    </row>
    <row r="115" spans="1:20" ht="16" x14ac:dyDescent="0.2">
      <c r="A115" s="289" t="s">
        <v>242</v>
      </c>
      <c r="B115" s="289" t="s">
        <v>238</v>
      </c>
      <c r="C115" s="289">
        <v>2.4399902978000001</v>
      </c>
      <c r="D115" s="289">
        <v>2.5102750100000001E-2</v>
      </c>
      <c r="E115" s="289">
        <v>-20.699717183099999</v>
      </c>
      <c r="F115" s="289">
        <v>-12.762280258000001</v>
      </c>
      <c r="G115" s="281">
        <v>-30.996904393299999</v>
      </c>
      <c r="I115">
        <f t="shared" si="23"/>
        <v>2.4399902978000001</v>
      </c>
      <c r="J115">
        <f t="shared" si="24"/>
        <v>-20.699717183099999</v>
      </c>
      <c r="K115">
        <f t="shared" si="25"/>
        <v>-12.7371775079</v>
      </c>
      <c r="L115">
        <f t="shared" si="22"/>
        <v>2.6839893275800004</v>
      </c>
      <c r="M115">
        <f t="shared" si="22"/>
        <v>-22.769688901409999</v>
      </c>
      <c r="N115">
        <f t="shared" si="22"/>
        <v>-14.010895258690001</v>
      </c>
      <c r="R115" s="280"/>
      <c r="S115" s="280"/>
    </row>
    <row r="116" spans="1:20" ht="16" x14ac:dyDescent="0.2">
      <c r="A116" s="289" t="s">
        <v>243</v>
      </c>
      <c r="B116" s="289" t="s">
        <v>238</v>
      </c>
      <c r="C116" s="289">
        <v>0</v>
      </c>
      <c r="D116" s="289">
        <v>0</v>
      </c>
      <c r="E116" s="289">
        <v>0</v>
      </c>
      <c r="F116" s="289">
        <v>0</v>
      </c>
      <c r="G116" s="281">
        <v>0</v>
      </c>
      <c r="I116">
        <f t="shared" si="23"/>
        <v>0</v>
      </c>
      <c r="J116">
        <f t="shared" si="24"/>
        <v>0</v>
      </c>
      <c r="K116">
        <f t="shared" si="25"/>
        <v>0</v>
      </c>
      <c r="L116">
        <f t="shared" si="22"/>
        <v>0</v>
      </c>
      <c r="M116">
        <f t="shared" si="22"/>
        <v>0</v>
      </c>
      <c r="N116">
        <f t="shared" si="22"/>
        <v>0</v>
      </c>
      <c r="R116" s="280"/>
      <c r="S116" s="280"/>
    </row>
    <row r="117" spans="1:20" ht="16" x14ac:dyDescent="0.2">
      <c r="A117" s="289" t="s">
        <v>244</v>
      </c>
      <c r="B117" s="289" t="s">
        <v>238</v>
      </c>
      <c r="C117" s="289">
        <v>2.4399902978000001</v>
      </c>
      <c r="D117" s="289">
        <v>2.5102750100000001E-2</v>
      </c>
      <c r="E117" s="289">
        <v>-20.699717183099999</v>
      </c>
      <c r="F117" s="289">
        <v>-12.762280258000001</v>
      </c>
      <c r="G117" s="281">
        <v>-30.996904393299999</v>
      </c>
      <c r="I117">
        <f t="shared" si="23"/>
        <v>2.4399902978000001</v>
      </c>
      <c r="J117">
        <f t="shared" si="24"/>
        <v>-20.699717183099999</v>
      </c>
      <c r="K117">
        <f t="shared" si="25"/>
        <v>-12.7371775079</v>
      </c>
      <c r="L117">
        <f t="shared" si="22"/>
        <v>2.6839893275800004</v>
      </c>
      <c r="M117">
        <f t="shared" si="22"/>
        <v>-22.769688901409999</v>
      </c>
      <c r="N117">
        <f t="shared" si="22"/>
        <v>-14.010895258690001</v>
      </c>
      <c r="R117" s="280"/>
      <c r="S117" s="280"/>
    </row>
    <row r="118" spans="1:20" ht="16" x14ac:dyDescent="0.2">
      <c r="A118" s="289" t="s">
        <v>245</v>
      </c>
      <c r="B118" s="289" t="s">
        <v>246</v>
      </c>
      <c r="C118" s="282">
        <v>7.3478881304999997E-5</v>
      </c>
      <c r="D118" s="282">
        <v>3.6342613022999997E-8</v>
      </c>
      <c r="E118" s="282">
        <v>3.9839037135E-5</v>
      </c>
      <c r="F118" s="282">
        <v>-5.0288259187999998E-5</v>
      </c>
      <c r="G118" s="293">
        <v>6.3066001863999998E-5</v>
      </c>
      <c r="I118">
        <f t="shared" si="23"/>
        <v>7.3478881304999997E-5</v>
      </c>
      <c r="J118">
        <f t="shared" si="24"/>
        <v>3.9839037135E-5</v>
      </c>
      <c r="K118">
        <f t="shared" si="25"/>
        <v>-5.0251916574976999E-5</v>
      </c>
      <c r="L118">
        <f t="shared" si="22"/>
        <v>8.0826769435500003E-5</v>
      </c>
      <c r="M118">
        <f t="shared" si="22"/>
        <v>4.3822940848500001E-5</v>
      </c>
      <c r="N118">
        <f t="shared" si="22"/>
        <v>-5.5277108232474706E-5</v>
      </c>
      <c r="R118" s="280"/>
      <c r="S118" s="280"/>
    </row>
    <row r="119" spans="1:20" ht="16" x14ac:dyDescent="0.2">
      <c r="A119" s="289" t="s">
        <v>247</v>
      </c>
      <c r="B119" s="289" t="s">
        <v>238</v>
      </c>
      <c r="C119" s="289">
        <v>7.9006154093000003</v>
      </c>
      <c r="D119" s="289">
        <v>0.1612180989</v>
      </c>
      <c r="E119" s="289">
        <v>-54.888804143400002</v>
      </c>
      <c r="F119" s="289">
        <v>-35.093739732800003</v>
      </c>
      <c r="G119" s="281">
        <v>-81.920710368000002</v>
      </c>
      <c r="I119">
        <f>C119</f>
        <v>7.9006154093000003</v>
      </c>
      <c r="J119">
        <f t="shared" si="24"/>
        <v>-54.888804143400002</v>
      </c>
      <c r="K119">
        <f>D119+F119</f>
        <v>-34.932521633900002</v>
      </c>
      <c r="L119">
        <f>I119*1.1</f>
        <v>8.6906769502300012</v>
      </c>
      <c r="M119">
        <f t="shared" si="22"/>
        <v>-60.377684557740004</v>
      </c>
      <c r="N119">
        <f>K119*1.1</f>
        <v>-38.425773797290006</v>
      </c>
      <c r="R119" s="280"/>
      <c r="S119" s="280"/>
    </row>
    <row r="120" spans="1:20" x14ac:dyDescent="0.2">
      <c r="Q120" t="s">
        <v>270</v>
      </c>
      <c r="R120" t="s">
        <v>271</v>
      </c>
    </row>
    <row r="121" spans="1:20" ht="16" x14ac:dyDescent="0.2">
      <c r="H121" s="280" t="s">
        <v>227</v>
      </c>
      <c r="L121">
        <f t="shared" ref="L121:N133" si="26">L4+L21+L38+L55+L72+L89+L106</f>
        <v>3.4924342633400003</v>
      </c>
      <c r="M121">
        <f t="shared" si="26"/>
        <v>-5.5138731541299997</v>
      </c>
      <c r="N121">
        <f>N4+N21+N38+N55+N72+N89+N106</f>
        <v>-1.0627243135752877</v>
      </c>
      <c r="P121">
        <f>SUM(L121:N121)</f>
        <v>-3.0841632043652871</v>
      </c>
      <c r="Q121">
        <v>1180.71</v>
      </c>
      <c r="R121">
        <v>1</v>
      </c>
      <c r="S121" s="294">
        <f>P121*Q121/R121</f>
        <v>-3641.5023370261383</v>
      </c>
      <c r="T121" t="s">
        <v>272</v>
      </c>
    </row>
    <row r="122" spans="1:20" ht="16" x14ac:dyDescent="0.2">
      <c r="H122" s="280" t="s">
        <v>229</v>
      </c>
      <c r="L122">
        <f t="shared" si="26"/>
        <v>1.1305675111000899E-7</v>
      </c>
      <c r="M122">
        <f t="shared" si="26"/>
        <v>4.4249664849349815E-8</v>
      </c>
      <c r="N122">
        <f t="shared" si="26"/>
        <v>-2.8082308157760294E-7</v>
      </c>
      <c r="P122">
        <f t="shared" ref="P122:P129" si="27">SUM(L122:N122)</f>
        <v>-1.2351666561824414E-7</v>
      </c>
    </row>
    <row r="123" spans="1:20" ht="16" x14ac:dyDescent="0.2">
      <c r="H123" s="280" t="s">
        <v>231</v>
      </c>
      <c r="L123">
        <f t="shared" si="26"/>
        <v>3.1093378442405401E-3</v>
      </c>
      <c r="M123">
        <f t="shared" si="26"/>
        <v>4.3500362188910005E-4</v>
      </c>
      <c r="N123">
        <f t="shared" si="26"/>
        <v>-5.748257233328533E-4</v>
      </c>
      <c r="P123">
        <f t="shared" si="27"/>
        <v>2.9695157427967866E-3</v>
      </c>
    </row>
    <row r="124" spans="1:20" ht="16" x14ac:dyDescent="0.2">
      <c r="H124" s="280" t="s">
        <v>233</v>
      </c>
      <c r="L124">
        <f t="shared" si="26"/>
        <v>1.9997524131184601E-2</v>
      </c>
      <c r="M124">
        <f t="shared" si="26"/>
        <v>-5.6265172641084011E-3</v>
      </c>
      <c r="N124">
        <f t="shared" si="26"/>
        <v>-8.9188199195282883E-3</v>
      </c>
      <c r="P124">
        <f t="shared" si="27"/>
        <v>5.4521869475479112E-3</v>
      </c>
    </row>
    <row r="125" spans="1:20" ht="16" x14ac:dyDescent="0.2">
      <c r="H125" s="280" t="s">
        <v>235</v>
      </c>
      <c r="L125">
        <f t="shared" si="26"/>
        <v>2.6945493279251801E-3</v>
      </c>
      <c r="M125">
        <f t="shared" si="26"/>
        <v>-8.2196265991047986E-4</v>
      </c>
      <c r="N125">
        <f t="shared" si="26"/>
        <v>-7.5004425113671901E-4</v>
      </c>
      <c r="P125">
        <f t="shared" si="27"/>
        <v>1.1225424168779812E-3</v>
      </c>
    </row>
    <row r="126" spans="1:20" ht="16" x14ac:dyDescent="0.2">
      <c r="H126" s="280" t="s">
        <v>237</v>
      </c>
      <c r="L126">
        <f t="shared" si="26"/>
        <v>147.54199208144001</v>
      </c>
      <c r="M126">
        <f t="shared" si="26"/>
        <v>-86.301796893290017</v>
      </c>
      <c r="N126">
        <f t="shared" si="26"/>
        <v>-109.99260996547804</v>
      </c>
      <c r="P126">
        <f t="shared" si="27"/>
        <v>-48.752414777328042</v>
      </c>
    </row>
    <row r="127" spans="1:20" ht="16" x14ac:dyDescent="0.2">
      <c r="H127" s="280" t="s">
        <v>239</v>
      </c>
      <c r="L127">
        <f t="shared" si="26"/>
        <v>79.88000059413001</v>
      </c>
      <c r="M127">
        <f t="shared" si="26"/>
        <v>-72.943200639979992</v>
      </c>
      <c r="N127">
        <f t="shared" si="26"/>
        <v>-92.077904408321274</v>
      </c>
      <c r="P127">
        <f t="shared" si="27"/>
        <v>-85.141104454171256</v>
      </c>
    </row>
    <row r="128" spans="1:20" ht="16" x14ac:dyDescent="0.2">
      <c r="H128" s="280" t="s">
        <v>240</v>
      </c>
      <c r="L128">
        <f t="shared" si="26"/>
        <v>4.4529243689685689</v>
      </c>
      <c r="M128">
        <f t="shared" si="26"/>
        <v>3.5675004298970303</v>
      </c>
      <c r="N128">
        <f t="shared" si="26"/>
        <v>-0.68329612102169013</v>
      </c>
      <c r="P128">
        <f t="shared" si="27"/>
        <v>7.3371286778439098</v>
      </c>
    </row>
    <row r="129" spans="8:16" ht="16" x14ac:dyDescent="0.2">
      <c r="H129" s="280" t="s">
        <v>241</v>
      </c>
      <c r="L129">
        <f t="shared" si="26"/>
        <v>75.421406945940006</v>
      </c>
      <c r="M129">
        <f t="shared" si="26"/>
        <v>-74.959339882020004</v>
      </c>
      <c r="N129">
        <f t="shared" si="26"/>
        <v>-88.74754553901127</v>
      </c>
      <c r="P129">
        <f t="shared" si="27"/>
        <v>-88.285478475091267</v>
      </c>
    </row>
    <row r="130" spans="8:16" ht="16" x14ac:dyDescent="0.2">
      <c r="H130" s="280" t="s">
        <v>242</v>
      </c>
      <c r="L130">
        <f t="shared" si="26"/>
        <v>67.661991487530003</v>
      </c>
      <c r="M130">
        <f t="shared" si="26"/>
        <v>-13.35859625331935</v>
      </c>
      <c r="N130">
        <f t="shared" si="26"/>
        <v>-17.91470555737677</v>
      </c>
    </row>
    <row r="131" spans="8:16" ht="16" x14ac:dyDescent="0.2">
      <c r="H131" s="280" t="s">
        <v>243</v>
      </c>
      <c r="L131">
        <f t="shared" si="26"/>
        <v>47.951683503350012</v>
      </c>
      <c r="M131">
        <f t="shared" si="26"/>
        <v>4.7754352077300029</v>
      </c>
      <c r="N131">
        <f t="shared" si="26"/>
        <v>-39.240438025580005</v>
      </c>
    </row>
    <row r="132" spans="8:16" ht="16" x14ac:dyDescent="0.2">
      <c r="H132" s="280" t="s">
        <v>244</v>
      </c>
      <c r="L132">
        <f t="shared" si="26"/>
        <v>20.354004086130001</v>
      </c>
      <c r="M132">
        <f t="shared" si="26"/>
        <v>-18.76734007192935</v>
      </c>
      <c r="N132">
        <f t="shared" si="26"/>
        <v>20.179859380666585</v>
      </c>
    </row>
    <row r="133" spans="8:16" ht="16" x14ac:dyDescent="0.2">
      <c r="H133" s="285" t="s">
        <v>245</v>
      </c>
      <c r="I133" s="286"/>
      <c r="J133" s="286"/>
      <c r="K133" s="286"/>
      <c r="L133" s="286">
        <f t="shared" si="26"/>
        <v>1.0984409768664542E-4</v>
      </c>
      <c r="M133" s="286">
        <f t="shared" si="26"/>
        <v>5.7804675811081763E-5</v>
      </c>
      <c r="N133" s="286">
        <f t="shared" si="26"/>
        <v>-5.5401503152896504E-5</v>
      </c>
    </row>
    <row r="134" spans="8:16" ht="16" x14ac:dyDescent="0.2">
      <c r="H134" s="280" t="s">
        <v>247</v>
      </c>
      <c r="L134">
        <f t="shared" ref="L134:N134" si="28">L17+L34+L51+L68+L85+L102+L119</f>
        <v>68.220022286680006</v>
      </c>
      <c r="M134">
        <f t="shared" si="28"/>
        <v>-47.855096576760005</v>
      </c>
      <c r="N134">
        <f t="shared" si="28"/>
        <v>-62.710702799259252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883C-27E7-A04B-BF87-73E4912D0C64}">
  <sheetPr codeName="Tabelle5">
    <tabColor theme="6" tint="-0.249977111117893"/>
  </sheetPr>
  <dimension ref="A1:S35"/>
  <sheetViews>
    <sheetView workbookViewId="0">
      <selection activeCell="K38" sqref="K38"/>
    </sheetView>
  </sheetViews>
  <sheetFormatPr baseColWidth="10" defaultRowHeight="15" x14ac:dyDescent="0.2"/>
  <cols>
    <col min="2" max="2" width="13.6640625" bestFit="1" customWidth="1"/>
    <col min="3" max="3" width="14.6640625" bestFit="1" customWidth="1"/>
  </cols>
  <sheetData>
    <row r="1" spans="1:19" ht="19" x14ac:dyDescent="0.25">
      <c r="A1" s="287" t="s">
        <v>259</v>
      </c>
      <c r="B1" s="283"/>
      <c r="C1" s="283"/>
    </row>
    <row r="2" spans="1:19" ht="18" x14ac:dyDescent="0.25">
      <c r="A2" s="278" t="s">
        <v>220</v>
      </c>
      <c r="B2" s="278" t="s">
        <v>221</v>
      </c>
      <c r="C2" s="278" t="s">
        <v>261</v>
      </c>
      <c r="D2" s="278" t="s">
        <v>262</v>
      </c>
      <c r="E2" s="278"/>
      <c r="F2" s="278"/>
      <c r="G2" s="279"/>
      <c r="Q2" s="278"/>
      <c r="R2" s="278"/>
      <c r="S2" s="278"/>
    </row>
    <row r="3" spans="1:19" ht="16" x14ac:dyDescent="0.2">
      <c r="A3" s="295" t="s">
        <v>227</v>
      </c>
      <c r="B3" s="295" t="s">
        <v>228</v>
      </c>
      <c r="C3" s="295">
        <v>15.040066914800001</v>
      </c>
      <c r="D3" s="295">
        <v>726.8</v>
      </c>
      <c r="E3" s="288"/>
      <c r="F3">
        <f>C3+C21</f>
        <v>4.8113267768000014</v>
      </c>
    </row>
    <row r="4" spans="1:19" ht="16" x14ac:dyDescent="0.2">
      <c r="A4" s="295" t="s">
        <v>229</v>
      </c>
      <c r="B4" s="295" t="s">
        <v>230</v>
      </c>
      <c r="C4" s="282">
        <v>1.5050770177999999E-9</v>
      </c>
      <c r="D4" s="295">
        <v>-1.3</v>
      </c>
      <c r="E4" s="288"/>
      <c r="F4">
        <f t="shared" ref="F4:F19" si="0">C4+C22</f>
        <v>4.8147507580000003E-10</v>
      </c>
    </row>
    <row r="5" spans="1:19" ht="16" x14ac:dyDescent="0.2">
      <c r="A5" s="295" t="s">
        <v>231</v>
      </c>
      <c r="B5" s="295" t="s">
        <v>232</v>
      </c>
      <c r="C5" s="282">
        <v>1.8506765846E-3</v>
      </c>
      <c r="D5" s="295">
        <v>55.4</v>
      </c>
      <c r="E5" s="288"/>
      <c r="F5">
        <f t="shared" si="0"/>
        <v>5.9203259240000008E-4</v>
      </c>
    </row>
    <row r="6" spans="1:19" ht="16" x14ac:dyDescent="0.2">
      <c r="A6" s="295" t="s">
        <v>233</v>
      </c>
      <c r="B6" s="295" t="s">
        <v>234</v>
      </c>
      <c r="C6" s="295">
        <v>2.46530308E-2</v>
      </c>
      <c r="D6" s="295">
        <v>187.8</v>
      </c>
      <c r="E6" s="288"/>
      <c r="F6">
        <f t="shared" si="0"/>
        <v>7.8865198999999997E-3</v>
      </c>
    </row>
    <row r="7" spans="1:19" ht="16" x14ac:dyDescent="0.2">
      <c r="A7" s="295" t="s">
        <v>235</v>
      </c>
      <c r="B7" s="295" t="s">
        <v>236</v>
      </c>
      <c r="C7" s="282">
        <v>3.2163174843999999E-3</v>
      </c>
      <c r="D7" s="295">
        <v>153.1</v>
      </c>
      <c r="E7" s="288"/>
      <c r="F7">
        <f t="shared" si="0"/>
        <v>1.0289019671999998E-3</v>
      </c>
    </row>
    <row r="8" spans="1:19" ht="16" x14ac:dyDescent="0.2">
      <c r="A8" s="295" t="s">
        <v>237</v>
      </c>
      <c r="B8" s="295" t="s">
        <v>238</v>
      </c>
      <c r="C8" s="295">
        <v>298.02769299139999</v>
      </c>
      <c r="D8" s="295">
        <v>381.9</v>
      </c>
      <c r="E8" s="288"/>
      <c r="F8">
        <f t="shared" si="0"/>
        <v>119.96628979369999</v>
      </c>
    </row>
    <row r="9" spans="1:19" ht="16" x14ac:dyDescent="0.2">
      <c r="A9" s="295" t="s">
        <v>239</v>
      </c>
      <c r="B9" s="295" t="s">
        <v>238</v>
      </c>
      <c r="C9" s="295">
        <v>205.2700828641</v>
      </c>
      <c r="D9" s="295">
        <v>-1847.4</v>
      </c>
      <c r="E9" s="288"/>
      <c r="F9">
        <f t="shared" si="0"/>
        <v>65.666027401799994</v>
      </c>
    </row>
    <row r="10" spans="1:19" ht="16" x14ac:dyDescent="0.2">
      <c r="A10" s="295" t="s">
        <v>240</v>
      </c>
      <c r="B10" s="295" t="s">
        <v>238</v>
      </c>
      <c r="C10" s="295">
        <v>0</v>
      </c>
      <c r="D10" s="295">
        <v>0</v>
      </c>
      <c r="E10" s="288"/>
      <c r="F10">
        <f t="shared" si="0"/>
        <v>0</v>
      </c>
    </row>
    <row r="11" spans="1:19" ht="16" x14ac:dyDescent="0.2">
      <c r="A11" s="295" t="s">
        <v>241</v>
      </c>
      <c r="B11" s="295" t="s">
        <v>238</v>
      </c>
      <c r="C11" s="295">
        <v>205.2700828641</v>
      </c>
      <c r="D11" s="295">
        <v>-1468.4</v>
      </c>
      <c r="E11" s="288"/>
      <c r="F11">
        <f t="shared" si="0"/>
        <v>65.666027401799994</v>
      </c>
    </row>
    <row r="12" spans="1:19" ht="16" x14ac:dyDescent="0.2">
      <c r="A12" s="295" t="s">
        <v>242</v>
      </c>
      <c r="B12" s="295" t="s">
        <v>238</v>
      </c>
      <c r="C12" s="295">
        <v>92.757610127299998</v>
      </c>
      <c r="D12" s="295">
        <v>104</v>
      </c>
      <c r="E12" s="288"/>
      <c r="F12">
        <f t="shared" si="0"/>
        <v>54.300262391799997</v>
      </c>
    </row>
    <row r="13" spans="1:19" ht="16" x14ac:dyDescent="0.2">
      <c r="A13" s="295" t="s">
        <v>243</v>
      </c>
      <c r="B13" s="295" t="s">
        <v>238</v>
      </c>
      <c r="C13" s="295">
        <v>0</v>
      </c>
      <c r="D13" s="295">
        <v>0</v>
      </c>
      <c r="E13" s="288"/>
      <c r="F13">
        <f t="shared" si="0"/>
        <v>0</v>
      </c>
    </row>
    <row r="14" spans="1:19" ht="16" x14ac:dyDescent="0.2">
      <c r="A14" s="295" t="s">
        <v>244</v>
      </c>
      <c r="B14" s="295" t="s">
        <v>238</v>
      </c>
      <c r="C14" s="295">
        <v>92.757610127299998</v>
      </c>
      <c r="D14" s="295">
        <v>122.6</v>
      </c>
      <c r="E14" s="288"/>
      <c r="F14">
        <f t="shared" si="0"/>
        <v>54.300262391799997</v>
      </c>
    </row>
    <row r="15" spans="1:19" ht="16" x14ac:dyDescent="0.2">
      <c r="A15" s="295" t="s">
        <v>245</v>
      </c>
      <c r="B15" s="295" t="s">
        <v>246</v>
      </c>
      <c r="C15" s="282">
        <v>3.6677422002999998E-6</v>
      </c>
      <c r="D15" s="295">
        <v>3.5</v>
      </c>
      <c r="E15" s="288"/>
      <c r="F15">
        <f t="shared" si="0"/>
        <v>1.1733130151E-6</v>
      </c>
    </row>
    <row r="16" spans="1:19" ht="15" customHeight="1" x14ac:dyDescent="0.2">
      <c r="A16" s="295" t="s">
        <v>247</v>
      </c>
      <c r="B16" s="295" t="s">
        <v>238</v>
      </c>
      <c r="C16" s="295">
        <v>151.7876949004</v>
      </c>
      <c r="D16" s="295">
        <v>1389.5</v>
      </c>
      <c r="E16" s="486"/>
      <c r="F16">
        <f t="shared" si="0"/>
        <v>48.556978169999994</v>
      </c>
    </row>
    <row r="17" spans="1:19" ht="15" customHeight="1" x14ac:dyDescent="0.2">
      <c r="A17" s="292"/>
      <c r="B17" s="292"/>
      <c r="C17" s="292"/>
      <c r="D17" s="292"/>
      <c r="E17" s="486"/>
      <c r="F17">
        <f t="shared" si="0"/>
        <v>0</v>
      </c>
    </row>
    <row r="18" spans="1:19" x14ac:dyDescent="0.2">
      <c r="F18">
        <f t="shared" si="0"/>
        <v>0</v>
      </c>
    </row>
    <row r="19" spans="1:19" ht="16" x14ac:dyDescent="0.2">
      <c r="A19" s="284" t="s">
        <v>260</v>
      </c>
      <c r="B19" s="283"/>
      <c r="C19" s="283"/>
      <c r="F19">
        <f t="shared" si="0"/>
        <v>0</v>
      </c>
    </row>
    <row r="20" spans="1:19" ht="18" x14ac:dyDescent="0.25">
      <c r="A20" s="278" t="s">
        <v>220</v>
      </c>
      <c r="B20" s="278" t="s">
        <v>221</v>
      </c>
      <c r="C20" s="278" t="s">
        <v>261</v>
      </c>
      <c r="D20" s="278" t="s">
        <v>262</v>
      </c>
      <c r="E20" s="278"/>
      <c r="F20" s="278"/>
      <c r="G20" s="279"/>
      <c r="Q20" s="278"/>
      <c r="R20" s="278"/>
      <c r="S20" s="278"/>
    </row>
    <row r="21" spans="1:19" ht="16" x14ac:dyDescent="0.2">
      <c r="A21" s="295" t="s">
        <v>227</v>
      </c>
      <c r="B21" s="295" t="s">
        <v>228</v>
      </c>
      <c r="C21" s="295">
        <v>-10.228740137999999</v>
      </c>
      <c r="D21" s="295">
        <v>-494.3</v>
      </c>
      <c r="E21" s="288"/>
    </row>
    <row r="22" spans="1:19" ht="16" x14ac:dyDescent="0.2">
      <c r="A22" s="295" t="s">
        <v>229</v>
      </c>
      <c r="B22" s="295" t="s">
        <v>230</v>
      </c>
      <c r="C22" s="282">
        <v>-1.0236019419999999E-9</v>
      </c>
      <c r="D22" s="295">
        <v>0.9</v>
      </c>
      <c r="E22" s="288"/>
    </row>
    <row r="23" spans="1:19" ht="16" x14ac:dyDescent="0.2">
      <c r="A23" s="295" t="s">
        <v>231</v>
      </c>
      <c r="B23" s="295" t="s">
        <v>232</v>
      </c>
      <c r="C23" s="282">
        <v>-1.2586439921999999E-3</v>
      </c>
      <c r="D23" s="295">
        <v>-37.700000000000003</v>
      </c>
      <c r="E23" s="288"/>
    </row>
    <row r="24" spans="1:19" ht="16" x14ac:dyDescent="0.2">
      <c r="A24" s="295" t="s">
        <v>233</v>
      </c>
      <c r="B24" s="295" t="s">
        <v>234</v>
      </c>
      <c r="C24" s="295">
        <v>-1.67665109E-2</v>
      </c>
      <c r="D24" s="295">
        <v>-127.7</v>
      </c>
      <c r="E24" s="288"/>
    </row>
    <row r="25" spans="1:19" ht="16" x14ac:dyDescent="0.2">
      <c r="A25" s="295" t="s">
        <v>235</v>
      </c>
      <c r="B25" s="295" t="s">
        <v>236</v>
      </c>
      <c r="C25" s="282">
        <v>-2.1874155172000001E-3</v>
      </c>
      <c r="D25" s="295">
        <v>-104.1</v>
      </c>
      <c r="E25" s="288"/>
    </row>
    <row r="26" spans="1:19" ht="16" x14ac:dyDescent="0.2">
      <c r="A26" s="295" t="s">
        <v>237</v>
      </c>
      <c r="B26" s="295" t="s">
        <v>238</v>
      </c>
      <c r="C26" s="295">
        <v>-178.0614031977</v>
      </c>
      <c r="D26" s="295">
        <v>-228.2</v>
      </c>
      <c r="E26" s="288"/>
    </row>
    <row r="27" spans="1:19" ht="16" x14ac:dyDescent="0.2">
      <c r="A27" s="295" t="s">
        <v>239</v>
      </c>
      <c r="B27" s="295" t="s">
        <v>238</v>
      </c>
      <c r="C27" s="295">
        <v>-139.60405546230001</v>
      </c>
      <c r="D27" s="295">
        <v>1256.4000000000001</v>
      </c>
      <c r="E27" s="288"/>
    </row>
    <row r="28" spans="1:19" ht="16" x14ac:dyDescent="0.2">
      <c r="A28" s="295" t="s">
        <v>240</v>
      </c>
      <c r="B28" s="295" t="s">
        <v>238</v>
      </c>
      <c r="C28" s="295">
        <v>0</v>
      </c>
      <c r="D28" s="295">
        <v>0</v>
      </c>
      <c r="E28" s="288"/>
    </row>
    <row r="29" spans="1:19" ht="16" x14ac:dyDescent="0.2">
      <c r="A29" s="295" t="s">
        <v>241</v>
      </c>
      <c r="B29" s="295" t="s">
        <v>238</v>
      </c>
      <c r="C29" s="295">
        <v>-139.60405546230001</v>
      </c>
      <c r="D29" s="295">
        <v>998.6</v>
      </c>
      <c r="E29" s="288"/>
    </row>
    <row r="30" spans="1:19" ht="16" x14ac:dyDescent="0.2">
      <c r="A30" s="295" t="s">
        <v>242</v>
      </c>
      <c r="B30" s="295" t="s">
        <v>238</v>
      </c>
      <c r="C30" s="295">
        <v>-38.457347735500001</v>
      </c>
      <c r="D30" s="295">
        <v>-43.1</v>
      </c>
      <c r="E30" s="288"/>
    </row>
    <row r="31" spans="1:19" ht="16" x14ac:dyDescent="0.2">
      <c r="A31" s="295" t="s">
        <v>243</v>
      </c>
      <c r="B31" s="295" t="s">
        <v>238</v>
      </c>
      <c r="C31" s="295">
        <v>0</v>
      </c>
      <c r="D31" s="295">
        <v>0</v>
      </c>
      <c r="E31" s="288"/>
    </row>
    <row r="32" spans="1:19" ht="16" x14ac:dyDescent="0.2">
      <c r="A32" s="295" t="s">
        <v>244</v>
      </c>
      <c r="B32" s="295" t="s">
        <v>238</v>
      </c>
      <c r="C32" s="295">
        <v>-38.457347735500001</v>
      </c>
      <c r="D32" s="295">
        <v>-50.8</v>
      </c>
      <c r="E32" s="288"/>
    </row>
    <row r="33" spans="1:5" ht="16" x14ac:dyDescent="0.2">
      <c r="A33" s="295" t="s">
        <v>245</v>
      </c>
      <c r="B33" s="295" t="s">
        <v>246</v>
      </c>
      <c r="C33" s="282">
        <v>-2.4944291851999998E-6</v>
      </c>
      <c r="D33" s="295">
        <v>-2.4</v>
      </c>
      <c r="E33" s="288"/>
    </row>
    <row r="34" spans="1:5" ht="15" customHeight="1" x14ac:dyDescent="0.2">
      <c r="A34" s="295" t="s">
        <v>247</v>
      </c>
      <c r="B34" s="295" t="s">
        <v>238</v>
      </c>
      <c r="C34" s="295">
        <v>-103.2307167304</v>
      </c>
      <c r="D34" s="295">
        <v>-945</v>
      </c>
      <c r="E34" s="486"/>
    </row>
    <row r="35" spans="1:5" ht="15" customHeight="1" x14ac:dyDescent="0.2">
      <c r="A35" s="292"/>
      <c r="B35" s="292"/>
      <c r="C35" s="292"/>
      <c r="D35" s="292"/>
      <c r="E35" s="486"/>
    </row>
  </sheetData>
  <mergeCells count="2">
    <mergeCell ref="E34:E35"/>
    <mergeCell ref="E16:E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X40"/>
  <sheetViews>
    <sheetView zoomScaleNormal="100" workbookViewId="0">
      <pane xSplit="1" ySplit="1" topLeftCell="B20" activePane="bottomRight" state="frozen"/>
      <selection pane="topRight" activeCell="B1" sqref="B1"/>
      <selection pane="bottomLeft" activeCell="A3" sqref="A3"/>
      <selection pane="bottomRight" activeCell="W20" sqref="W20"/>
    </sheetView>
  </sheetViews>
  <sheetFormatPr baseColWidth="10" defaultColWidth="9.1640625" defaultRowHeight="15" x14ac:dyDescent="0.2"/>
  <cols>
    <col min="1" max="1" width="16.1640625" customWidth="1"/>
    <col min="2" max="2" width="16.83203125" style="46" customWidth="1"/>
    <col min="3" max="3" width="10.33203125" customWidth="1"/>
    <col min="4" max="4" width="13.5" customWidth="1"/>
    <col min="5" max="5" width="11.83203125" customWidth="1"/>
    <col min="7" max="7" width="9.83203125" customWidth="1"/>
    <col min="10" max="10" width="5.6640625" customWidth="1"/>
    <col min="12" max="12" width="15.6640625" customWidth="1"/>
    <col min="13" max="13" width="13.1640625" customWidth="1"/>
    <col min="14" max="14" width="12.33203125" customWidth="1"/>
    <col min="15" max="15" width="14.1640625" customWidth="1"/>
    <col min="16" max="16" width="12.1640625" customWidth="1"/>
    <col min="17" max="17" width="13.6640625" customWidth="1"/>
    <col min="20" max="20" width="4.5" customWidth="1"/>
    <col min="21" max="21" width="16.83203125" customWidth="1"/>
    <col min="22" max="23" width="17" bestFit="1" customWidth="1"/>
  </cols>
  <sheetData>
    <row r="1" spans="1:24" ht="30.75" customHeight="1" x14ac:dyDescent="0.2">
      <c r="A1" s="52" t="s">
        <v>68</v>
      </c>
      <c r="B1" s="241" t="s">
        <v>69</v>
      </c>
      <c r="C1" s="54" t="s">
        <v>4</v>
      </c>
      <c r="D1" s="54" t="s">
        <v>5</v>
      </c>
      <c r="E1" s="50" t="s">
        <v>6</v>
      </c>
      <c r="F1" s="54" t="s">
        <v>7</v>
      </c>
      <c r="G1" s="50" t="s">
        <v>8</v>
      </c>
      <c r="H1" s="54" t="s">
        <v>9</v>
      </c>
      <c r="I1" s="51" t="s">
        <v>10</v>
      </c>
      <c r="K1" s="52" t="s">
        <v>68</v>
      </c>
      <c r="L1" s="53" t="s">
        <v>69</v>
      </c>
      <c r="M1" s="54" t="s">
        <v>4</v>
      </c>
      <c r="N1" s="54" t="s">
        <v>5</v>
      </c>
      <c r="O1" s="50" t="s">
        <v>6</v>
      </c>
      <c r="P1" s="54" t="s">
        <v>7</v>
      </c>
      <c r="Q1" s="50" t="s">
        <v>8</v>
      </c>
      <c r="R1" s="54" t="s">
        <v>9</v>
      </c>
      <c r="S1" s="51" t="s">
        <v>10</v>
      </c>
      <c r="U1" s="250" t="s">
        <v>195</v>
      </c>
      <c r="V1" s="251" t="s">
        <v>196</v>
      </c>
      <c r="W1" s="250" t="s">
        <v>197</v>
      </c>
      <c r="X1" s="235"/>
    </row>
    <row r="2" spans="1:24" ht="15" customHeight="1" x14ac:dyDescent="0.2">
      <c r="A2" s="253" t="s">
        <v>170</v>
      </c>
      <c r="B2" s="254" t="s">
        <v>70</v>
      </c>
      <c r="C2" s="56">
        <v>9.4</v>
      </c>
      <c r="D2" s="59">
        <v>5.3000000000000001E-7</v>
      </c>
      <c r="E2" s="56">
        <v>4.1999999999999997E-3</v>
      </c>
      <c r="F2" s="56">
        <v>3.6999999999999998E-2</v>
      </c>
      <c r="G2" s="56">
        <v>4.7000000000000002E-3</v>
      </c>
      <c r="H2" s="56">
        <v>123</v>
      </c>
      <c r="I2" s="56">
        <v>151</v>
      </c>
      <c r="K2" s="255" t="s">
        <v>71</v>
      </c>
      <c r="L2" s="242" t="s">
        <v>72</v>
      </c>
      <c r="M2" s="55">
        <v>2.4</v>
      </c>
      <c r="N2" s="58">
        <v>9.5000000000000007E-9</v>
      </c>
      <c r="O2" s="55">
        <v>6.2E-4</v>
      </c>
      <c r="P2" s="55">
        <v>5.7000000000000002E-3</v>
      </c>
      <c r="Q2" s="55">
        <v>7.3999999999999999E-4</v>
      </c>
      <c r="R2" s="55">
        <v>24</v>
      </c>
      <c r="S2" s="55">
        <v>25.7</v>
      </c>
      <c r="U2" s="56" t="s">
        <v>74</v>
      </c>
      <c r="V2" s="56" t="s">
        <v>0</v>
      </c>
      <c r="W2" s="56" t="s">
        <v>94</v>
      </c>
    </row>
    <row r="3" spans="1:24" ht="15" customHeight="1" x14ac:dyDescent="0.2">
      <c r="A3" s="253" t="s">
        <v>170</v>
      </c>
      <c r="B3" s="254" t="s">
        <v>0</v>
      </c>
      <c r="C3" s="56">
        <v>9.4</v>
      </c>
      <c r="D3" s="59">
        <v>5.3000000000000001E-7</v>
      </c>
      <c r="E3" s="56">
        <v>4.1999999999999997E-3</v>
      </c>
      <c r="F3" s="56">
        <v>3.6999999999999998E-2</v>
      </c>
      <c r="G3" s="56">
        <v>4.7000000000000002E-3</v>
      </c>
      <c r="H3" s="56">
        <v>123</v>
      </c>
      <c r="I3" s="56">
        <v>151</v>
      </c>
      <c r="K3" s="256" t="s">
        <v>71</v>
      </c>
      <c r="L3" s="210" t="s">
        <v>73</v>
      </c>
      <c r="M3" s="56">
        <v>2.4</v>
      </c>
      <c r="N3" s="59">
        <v>9.5000000000000007E-9</v>
      </c>
      <c r="O3" s="56">
        <v>6.2E-4</v>
      </c>
      <c r="P3" s="56">
        <v>5.7000000000000002E-3</v>
      </c>
      <c r="Q3" s="56">
        <v>7.3999999999999999E-4</v>
      </c>
      <c r="R3" s="56">
        <v>24</v>
      </c>
      <c r="S3" s="56">
        <v>25.7</v>
      </c>
      <c r="U3" s="56" t="s">
        <v>78</v>
      </c>
      <c r="V3" s="56" t="s">
        <v>76</v>
      </c>
      <c r="W3" s="57" t="s">
        <v>95</v>
      </c>
    </row>
    <row r="4" spans="1:24" ht="16" x14ac:dyDescent="0.2">
      <c r="A4" s="253" t="s">
        <v>170</v>
      </c>
      <c r="B4" s="254" t="s">
        <v>74</v>
      </c>
      <c r="C4" s="56">
        <v>9.4</v>
      </c>
      <c r="D4" s="59">
        <v>5.3000000000000001E-7</v>
      </c>
      <c r="E4" s="56">
        <v>4.1999999999999997E-3</v>
      </c>
      <c r="F4" s="56">
        <v>3.6999999999999998E-2</v>
      </c>
      <c r="G4" s="56">
        <v>4.7000000000000002E-3</v>
      </c>
      <c r="H4" s="56">
        <v>123</v>
      </c>
      <c r="I4" s="56">
        <v>151</v>
      </c>
      <c r="K4" s="256" t="s">
        <v>71</v>
      </c>
      <c r="L4" s="210" t="s">
        <v>75</v>
      </c>
      <c r="M4" s="56">
        <v>2.4</v>
      </c>
      <c r="N4" s="59">
        <v>9.5000000000000007E-9</v>
      </c>
      <c r="O4" s="56">
        <v>6.2E-4</v>
      </c>
      <c r="P4" s="56">
        <v>5.7000000000000002E-3</v>
      </c>
      <c r="Q4" s="56">
        <v>7.3999999999999999E-4</v>
      </c>
      <c r="R4" s="56">
        <v>24</v>
      </c>
      <c r="S4" s="56">
        <v>25.7</v>
      </c>
      <c r="U4" s="56" t="s">
        <v>80</v>
      </c>
      <c r="V4" s="56" t="s">
        <v>82</v>
      </c>
      <c r="W4" s="57" t="s">
        <v>96</v>
      </c>
    </row>
    <row r="5" spans="1:24" ht="16" x14ac:dyDescent="0.2">
      <c r="A5" s="253" t="s">
        <v>170</v>
      </c>
      <c r="B5" s="254" t="s">
        <v>76</v>
      </c>
      <c r="C5" s="56">
        <v>9.4</v>
      </c>
      <c r="D5" s="59">
        <v>5.3000000000000001E-7</v>
      </c>
      <c r="E5" s="56">
        <v>4.1999999999999997E-3</v>
      </c>
      <c r="F5" s="56">
        <v>3.6999999999999998E-2</v>
      </c>
      <c r="G5" s="56">
        <v>4.7000000000000002E-3</v>
      </c>
      <c r="H5" s="56">
        <v>123</v>
      </c>
      <c r="I5" s="56">
        <v>151</v>
      </c>
      <c r="K5" s="256" t="s">
        <v>71</v>
      </c>
      <c r="L5" s="210" t="s">
        <v>77</v>
      </c>
      <c r="M5" s="56">
        <v>2.4</v>
      </c>
      <c r="N5" s="59">
        <v>9.5000000000000007E-9</v>
      </c>
      <c r="O5" s="56">
        <v>6.2E-4</v>
      </c>
      <c r="P5" s="56">
        <v>5.7000000000000002E-3</v>
      </c>
      <c r="Q5" s="56">
        <v>7.3999999999999999E-4</v>
      </c>
      <c r="R5" s="56">
        <v>24</v>
      </c>
      <c r="S5" s="56">
        <v>25.7</v>
      </c>
      <c r="U5" s="56" t="s">
        <v>83</v>
      </c>
      <c r="V5" s="56" t="s">
        <v>92</v>
      </c>
      <c r="W5" s="57" t="s">
        <v>97</v>
      </c>
    </row>
    <row r="6" spans="1:24" ht="16" x14ac:dyDescent="0.2">
      <c r="A6" s="253" t="s">
        <v>170</v>
      </c>
      <c r="B6" s="254" t="s">
        <v>78</v>
      </c>
      <c r="C6" s="56">
        <v>9.4</v>
      </c>
      <c r="D6" s="59">
        <v>5.3000000000000001E-7</v>
      </c>
      <c r="E6" s="56">
        <v>4.1999999999999997E-3</v>
      </c>
      <c r="F6" s="56">
        <v>3.6999999999999998E-2</v>
      </c>
      <c r="G6" s="56">
        <v>4.7000000000000002E-3</v>
      </c>
      <c r="H6" s="56">
        <v>123</v>
      </c>
      <c r="I6" s="56">
        <v>151</v>
      </c>
      <c r="K6" s="256" t="s">
        <v>71</v>
      </c>
      <c r="L6" s="210" t="s">
        <v>79</v>
      </c>
      <c r="M6" s="56">
        <v>1.2</v>
      </c>
      <c r="N6" s="59">
        <v>1.9000000000000001E-8</v>
      </c>
      <c r="O6" s="56">
        <v>5.0000000000000001E-4</v>
      </c>
      <c r="P6" s="56">
        <v>3.0000000000000001E-3</v>
      </c>
      <c r="Q6" s="56">
        <v>4.0000000000000002E-4</v>
      </c>
      <c r="R6" s="56">
        <v>12.3</v>
      </c>
      <c r="S6" s="56">
        <v>13.7</v>
      </c>
      <c r="U6" s="56" t="s">
        <v>90</v>
      </c>
      <c r="V6" s="56" t="s">
        <v>87</v>
      </c>
      <c r="W6" s="57" t="s">
        <v>98</v>
      </c>
    </row>
    <row r="7" spans="1:24" ht="16" x14ac:dyDescent="0.2">
      <c r="A7" s="253" t="s">
        <v>170</v>
      </c>
      <c r="B7" s="254" t="s">
        <v>80</v>
      </c>
      <c r="C7" s="56">
        <v>9.4</v>
      </c>
      <c r="D7" s="59">
        <v>5.3000000000000001E-7</v>
      </c>
      <c r="E7" s="56">
        <v>4.1999999999999997E-3</v>
      </c>
      <c r="F7" s="56">
        <v>3.6999999999999998E-2</v>
      </c>
      <c r="G7" s="56">
        <v>4.7000000000000002E-3</v>
      </c>
      <c r="H7" s="56">
        <v>123</v>
      </c>
      <c r="I7" s="56">
        <v>151</v>
      </c>
      <c r="K7" s="256" t="s">
        <v>71</v>
      </c>
      <c r="L7" s="210" t="s">
        <v>81</v>
      </c>
      <c r="M7" s="56">
        <v>1.2</v>
      </c>
      <c r="N7" s="59">
        <v>1.9000000000000001E-8</v>
      </c>
      <c r="O7" s="56">
        <v>5.0000000000000001E-4</v>
      </c>
      <c r="P7" s="56">
        <v>3.0000000000000001E-3</v>
      </c>
      <c r="Q7" s="56">
        <v>4.0000000000000002E-4</v>
      </c>
      <c r="R7" s="56">
        <v>12.3</v>
      </c>
      <c r="S7" s="56">
        <v>13.7</v>
      </c>
      <c r="U7" s="56" t="s">
        <v>89</v>
      </c>
      <c r="V7" s="56" t="s">
        <v>86</v>
      </c>
      <c r="W7" s="57" t="s">
        <v>99</v>
      </c>
    </row>
    <row r="8" spans="1:24" ht="16" x14ac:dyDescent="0.2">
      <c r="A8" s="253" t="s">
        <v>170</v>
      </c>
      <c r="B8" s="254" t="s">
        <v>82</v>
      </c>
      <c r="C8" s="56">
        <v>9.4</v>
      </c>
      <c r="D8" s="59">
        <v>5.3000000000000001E-7</v>
      </c>
      <c r="E8" s="56">
        <v>4.1999999999999997E-3</v>
      </c>
      <c r="F8" s="56">
        <v>3.6999999999999998E-2</v>
      </c>
      <c r="G8" s="56">
        <v>4.7000000000000002E-3</v>
      </c>
      <c r="H8" s="56">
        <v>123</v>
      </c>
      <c r="I8" s="56">
        <v>151</v>
      </c>
      <c r="K8" s="256" t="s">
        <v>71</v>
      </c>
      <c r="L8" s="210" t="s">
        <v>205</v>
      </c>
      <c r="M8" s="56">
        <v>1.2</v>
      </c>
      <c r="N8" s="59">
        <v>1.9000000000000001E-8</v>
      </c>
      <c r="O8" s="56">
        <v>5.0000000000000001E-4</v>
      </c>
      <c r="P8" s="56">
        <v>3.0000000000000001E-3</v>
      </c>
      <c r="Q8" s="56">
        <v>4.0000000000000002E-4</v>
      </c>
      <c r="R8" s="56">
        <v>12.3</v>
      </c>
      <c r="S8" s="56">
        <v>13.7</v>
      </c>
      <c r="U8" s="56" t="s">
        <v>75</v>
      </c>
      <c r="V8" s="56" t="s">
        <v>85</v>
      </c>
      <c r="W8" s="57" t="s">
        <v>100</v>
      </c>
    </row>
    <row r="9" spans="1:24" ht="16" x14ac:dyDescent="0.2">
      <c r="A9" s="253" t="s">
        <v>170</v>
      </c>
      <c r="B9" s="254" t="s">
        <v>83</v>
      </c>
      <c r="C9" s="56">
        <v>9.4</v>
      </c>
      <c r="D9" s="59">
        <v>5.3000000000000001E-7</v>
      </c>
      <c r="E9" s="56">
        <v>4.1999999999999997E-3</v>
      </c>
      <c r="F9" s="56">
        <v>3.6999999999999998E-2</v>
      </c>
      <c r="G9" s="56">
        <v>4.7000000000000002E-3</v>
      </c>
      <c r="H9" s="56">
        <v>123</v>
      </c>
      <c r="I9" s="56">
        <v>151</v>
      </c>
      <c r="K9" s="256" t="s">
        <v>71</v>
      </c>
      <c r="L9" s="210" t="s">
        <v>193</v>
      </c>
      <c r="M9" s="56">
        <f>IF('DGNB LCA Results'!$P$4=4,VLOOKUP('DGNB LCA Results'!$M$3,Construction!$L$2:$S$104,2,FALSE)*'DGNB LCA Results'!$N$3+VLOOKUP('DGNB LCA Results'!$K$3,Construction!$L$2:$S$104,2,FALSE)*'DGNB LCA Results'!$L$3+VLOOKUP('DGNB LCA Results'!$I$3,Construction!$L$2:$S$104,2,FALSE)*'DGNB LCA Results'!$J$3+VLOOKUP('DGNB LCA Results'!$G$3,Construction!$L$2:$S$104,2,FALSE)*'DGNB LCA Results'!$H$3,IF('DGNB LCA Results'!$P$4=3,VLOOKUP('DGNB LCA Results'!$M$3,Construction!$L$2:$S$104,2,FALSE)*'DGNB LCA Results'!$N$3+VLOOKUP('DGNB LCA Results'!$K$3,Construction!$L$2:$S$104,2,FALSE)*'DGNB LCA Results'!$L$3+VLOOKUP('DGNB LCA Results'!$I$3,Construction!$L$2:$S$104,2,FALSE)*'DGNB LCA Results'!$J$3,IF('DGNB LCA Results'!$P$4=2,VLOOKUP('DGNB LCA Results'!$M$3,Construction!$L$2:$S$104,2,FALSE)*'DGNB LCA Results'!$N$3+VLOOKUP('DGNB LCA Results'!$K$3,Construction!$L$2:$S$104,2,FALSE)*'DGNB LCA Results'!$L$3,IF('DGNB LCA Results'!$P$4=1,VLOOKUP('DGNB LCA Results'!$M$3,Construction!$L$2:$S$104,2,FALSE)*'DGNB LCA Results'!$N$3,0))))</f>
        <v>0</v>
      </c>
      <c r="N9" s="59">
        <f>IF('DGNB LCA Results'!$P$4=4,VLOOKUP('DGNB LCA Results'!$M$3,Construction!$L$2:$S$104,3,FALSE)*'DGNB LCA Results'!$N$3+VLOOKUP('DGNB LCA Results'!$K$3,Construction!$L$2:$S$104,3,FALSE)*'DGNB LCA Results'!$L$3+VLOOKUP('DGNB LCA Results'!$I$3,Construction!$L$2:$S$104,3,FALSE)*'DGNB LCA Results'!$J$3+VLOOKUP('DGNB LCA Results'!$G$3,Construction!$L$2:$S$104,3,FALSE)*'DGNB LCA Results'!$H$3,IF('DGNB LCA Results'!$P$4=3,VLOOKUP('DGNB LCA Results'!$M$3,Construction!$L$2:$S$104,3,FALSE)*'DGNB LCA Results'!$N$3+VLOOKUP('DGNB LCA Results'!$K$3,Construction!$L$2:$S$104,3,FALSE)*'DGNB LCA Results'!$L$3+VLOOKUP('DGNB LCA Results'!$I$3,Construction!$L$2:$S$104,3,FALSE)*'DGNB LCA Results'!$J$3,IF('DGNB LCA Results'!$P$4=2,VLOOKUP('DGNB LCA Results'!$M$3,Construction!$L$2:$S$104,3,FALSE)*'DGNB LCA Results'!$N$3+VLOOKUP('DGNB LCA Results'!$K$3,Construction!$L$2:$S$104,3,FALSE)*'DGNB LCA Results'!$L$3,IF('DGNB LCA Results'!$P$4=1,VLOOKUP('DGNB LCA Results'!$M$3,Construction!$L$2:$S$104,3,FALSE)*'DGNB LCA Results'!$N$3,0))))</f>
        <v>0</v>
      </c>
      <c r="O9" s="56">
        <f>IF('DGNB LCA Results'!$P$4=4,VLOOKUP('DGNB LCA Results'!$M$3,Construction!$L$2:$S$104,4,FALSE)*'DGNB LCA Results'!$N$3+VLOOKUP('DGNB LCA Results'!$K$3,Construction!$L$2:$S$104,4,FALSE)*'DGNB LCA Results'!$L$3+VLOOKUP('DGNB LCA Results'!$I$3,Construction!$L$2:$S$104,4,FALSE)*'DGNB LCA Results'!$J$3+VLOOKUP('DGNB LCA Results'!$G$3,Construction!$L$2:$S$104,4,FALSE)*'DGNB LCA Results'!$H$3,IF('DGNB LCA Results'!$P$4=3,VLOOKUP('DGNB LCA Results'!$M$3,Construction!$L$2:$S$104,4,FALSE)*'DGNB LCA Results'!$N$3+VLOOKUP('DGNB LCA Results'!$K$3,Construction!$L$2:$S$104,4,FALSE)*'DGNB LCA Results'!$L$3+VLOOKUP('DGNB LCA Results'!$I$3,Construction!$L$2:$S$104,4,FALSE)*'DGNB LCA Results'!$J$3,IF('DGNB LCA Results'!$P$4=2,VLOOKUP('DGNB LCA Results'!$M$3,Construction!$L$2:$S$104,4,FALSE)*'DGNB LCA Results'!$N$3+VLOOKUP('DGNB LCA Results'!$K$3,Construction!$L$2:$S$104,4,FALSE)*'DGNB LCA Results'!$L$3,IF('DGNB LCA Results'!$P$4=1,VLOOKUP('DGNB LCA Results'!$M$3,Construction!$L$2:$S$104,4,FALSE)*'DGNB LCA Results'!$N$3,0))))</f>
        <v>0</v>
      </c>
      <c r="P9" s="56">
        <f>IF('DGNB LCA Results'!$P$4=4,VLOOKUP('DGNB LCA Results'!$M$3,Construction!$L$2:$S$104,5,FALSE)*'DGNB LCA Results'!$N$3+VLOOKUP('DGNB LCA Results'!$K$3,Construction!$L$2:$S$104,5,FALSE)*'DGNB LCA Results'!$L$3+VLOOKUP('DGNB LCA Results'!$I$3,Construction!$L$2:$S$104,5,FALSE)*'DGNB LCA Results'!$J$3+VLOOKUP('DGNB LCA Results'!$G$3,Construction!$L$2:$S$104,5,FALSE)*'DGNB LCA Results'!$H$3,IF('DGNB LCA Results'!$P$4=3,VLOOKUP('DGNB LCA Results'!$M$3,Construction!$L$2:$S$104,5,FALSE)*'DGNB LCA Results'!$N$3+VLOOKUP('DGNB LCA Results'!$K$3,Construction!$L$2:$S$104,5,FALSE)*'DGNB LCA Results'!$L$3+VLOOKUP('DGNB LCA Results'!$I$3,Construction!$L$2:$S$104,5,FALSE)*'DGNB LCA Results'!$J$3,IF('DGNB LCA Results'!$P$4=2,VLOOKUP('DGNB LCA Results'!$M$3,Construction!$L$2:$S$104,5,FALSE)*'DGNB LCA Results'!$N$3+VLOOKUP('DGNB LCA Results'!$K$3,Construction!$L$2:$S$104,5,FALSE)*'DGNB LCA Results'!$L$3,IF('DGNB LCA Results'!$P$4=1,VLOOKUP('DGNB LCA Results'!$M$3,Construction!$L$2:$S$104,5,FALSE)*'DGNB LCA Results'!$N$3,0))))</f>
        <v>0</v>
      </c>
      <c r="Q9" s="56">
        <f>IF('DGNB LCA Results'!$P$4=4,VLOOKUP('DGNB LCA Results'!$M$3,Construction!$L$2:$S$104,6,FALSE)*'DGNB LCA Results'!$N$3+VLOOKUP('DGNB LCA Results'!$K$3,Construction!$L$2:$S$104,6,FALSE)*'DGNB LCA Results'!$L$3+VLOOKUP('DGNB LCA Results'!$I$3,Construction!$L$2:$S$104,6,FALSE)*'DGNB LCA Results'!$J$3+VLOOKUP('DGNB LCA Results'!$G$3,Construction!$L$2:$S$104,6,FALSE)*'DGNB LCA Results'!$H$3,IF('DGNB LCA Results'!$P$4=3,VLOOKUP('DGNB LCA Results'!$M$3,Construction!$L$2:$S$104,6,FALSE)*'DGNB LCA Results'!$N$3+VLOOKUP('DGNB LCA Results'!$K$3,Construction!$L$2:$S$104,6,FALSE)*'DGNB LCA Results'!$L$3+VLOOKUP('DGNB LCA Results'!$I$3,Construction!$L$2:$S$104,6,FALSE)*'DGNB LCA Results'!$J$3,IF('DGNB LCA Results'!$P$4=2,VLOOKUP('DGNB LCA Results'!$M$3,Construction!$L$2:$S$104,6,FALSE)*'DGNB LCA Results'!$N$3+VLOOKUP('DGNB LCA Results'!$K$3,Construction!$L$2:$S$104,6,FALSE)*'DGNB LCA Results'!$L$3,IF('DGNB LCA Results'!$P$4=1,VLOOKUP('DGNB LCA Results'!$M$3,Construction!$L$2:$S$104,6,FALSE)*'DGNB LCA Results'!$N$3,0))))</f>
        <v>0</v>
      </c>
      <c r="R9" s="56">
        <f>IF('DGNB LCA Results'!$P$4=4,VLOOKUP('DGNB LCA Results'!$M$3,Construction!$L$2:$S$104,7,FALSE)*'DGNB LCA Results'!$N$3+VLOOKUP('DGNB LCA Results'!$K$3,Construction!$L$2:$S$104,7,FALSE)*'DGNB LCA Results'!$L$3+VLOOKUP('DGNB LCA Results'!$I$3,Construction!$L$2:$S$104,7,FALSE)*'DGNB LCA Results'!$J$3+VLOOKUP('DGNB LCA Results'!$G$3,Construction!$L$2:$S$104,7,FALSE)*'DGNB LCA Results'!$H$3,IF('DGNB LCA Results'!$P$4=3,VLOOKUP('DGNB LCA Results'!$M$3,Construction!$L$2:$S$104,7,FALSE)*'DGNB LCA Results'!$N$3+VLOOKUP('DGNB LCA Results'!$K$3,Construction!$L$2:$S$104,7,FALSE)*'DGNB LCA Results'!$L$3+VLOOKUP('DGNB LCA Results'!$I$3,Construction!$L$2:$S$104,7,FALSE)*'DGNB LCA Results'!$J$3,IF('DGNB LCA Results'!$P$4=2,VLOOKUP('DGNB LCA Results'!$M$3,Construction!$L$2:$S$104,7,FALSE)*'DGNB LCA Results'!$N$3+VLOOKUP('DGNB LCA Results'!$K$3,Construction!$L$2:$S$104,7,FALSE)*'DGNB LCA Results'!$L$3,IF('DGNB LCA Results'!$P$4=1,VLOOKUP('DGNB LCA Results'!$M$3,Construction!$L$2:$S$104,7,FALSE)*'DGNB LCA Results'!$N$3,0))))</f>
        <v>0</v>
      </c>
      <c r="S9" s="56">
        <f>IF('DGNB LCA Results'!$P$4=4,VLOOKUP('DGNB LCA Results'!$M$3,Construction!$L$2:$S$104,8,FALSE)*'DGNB LCA Results'!$N$3+VLOOKUP('DGNB LCA Results'!$K$3,Construction!$L$2:$S$104,8,FALSE)*'DGNB LCA Results'!$L$3+VLOOKUP('DGNB LCA Results'!$I$3,Construction!$L$2:$S$104,8,FALSE)*'DGNB LCA Results'!$J$3+VLOOKUP('DGNB LCA Results'!$G$3,Construction!$L$2:$S$104,8,FALSE)*'DGNB LCA Results'!$H$3,IF('DGNB LCA Results'!$P$4=3,VLOOKUP('DGNB LCA Results'!$M$3,Construction!$L$2:$S$104,8,FALSE)*'DGNB LCA Results'!$N$3+VLOOKUP('DGNB LCA Results'!$K$3,Construction!$L$2:$S$104,8,FALSE)*'DGNB LCA Results'!$L$3+VLOOKUP('DGNB LCA Results'!$I$3,Construction!$L$2:$S$104,8,FALSE)*'DGNB LCA Results'!$J$3,IF('DGNB LCA Results'!$P$4=2,VLOOKUP('DGNB LCA Results'!$M$3,Construction!$L$2:$S$104,8,FALSE)*'DGNB LCA Results'!$N$3+VLOOKUP('DGNB LCA Results'!$K$3,Construction!$L$2:$S$104,8,FALSE)*'DGNB LCA Results'!$L$3,IF('DGNB LCA Results'!$P$4=1,VLOOKUP('DGNB LCA Results'!$M$3,Construction!$L$2:$S$104,8,FALSE)*'DGNB LCA Results'!$N$3,0))))</f>
        <v>0</v>
      </c>
      <c r="U9" s="56" t="s">
        <v>77</v>
      </c>
      <c r="V9" s="56" t="s">
        <v>72</v>
      </c>
      <c r="W9" s="57" t="s">
        <v>79</v>
      </c>
    </row>
    <row r="10" spans="1:24" ht="16" x14ac:dyDescent="0.2">
      <c r="A10" s="253" t="s">
        <v>170</v>
      </c>
      <c r="B10" s="254" t="s">
        <v>84</v>
      </c>
      <c r="C10" s="56">
        <v>5.4</v>
      </c>
      <c r="D10" s="59">
        <v>3.3999999999999997E-7</v>
      </c>
      <c r="E10" s="56">
        <v>2.7000000000000001E-3</v>
      </c>
      <c r="F10" s="56">
        <v>2.1000000000000001E-2</v>
      </c>
      <c r="G10" s="56">
        <v>2.5999999999999999E-3</v>
      </c>
      <c r="H10" s="56">
        <v>65</v>
      </c>
      <c r="I10" s="56">
        <v>130</v>
      </c>
      <c r="K10" s="256" t="s">
        <v>71</v>
      </c>
      <c r="L10" s="210" t="s">
        <v>194</v>
      </c>
      <c r="M10" s="56">
        <f>IF('DGNB LCA Results'!$P$4=4,VLOOKUP('DGNB LCA Results'!$M$3,Construction!$L$2:$S$104,2,FALSE)*'DGNB LCA Results'!$N$3+VLOOKUP('DGNB LCA Results'!$K$3,Construction!$L$2:$S$104,2,FALSE)*'DGNB LCA Results'!$L$3+VLOOKUP('DGNB LCA Results'!$I$3,Construction!$L$2:$S$104,2,FALSE)*'DGNB LCA Results'!$J$3+VLOOKUP('DGNB LCA Results'!$G$3,Construction!$L$2:$S$104,2,FALSE)*'DGNB LCA Results'!$H$3,IF('DGNB LCA Results'!$P$4=3,VLOOKUP('DGNB LCA Results'!$M$3,Construction!$L$2:$S$104,2,FALSE)*'DGNB LCA Results'!$N$3+VLOOKUP('DGNB LCA Results'!$K$3,Construction!$L$2:$S$104,2,FALSE)*'DGNB LCA Results'!$L$3+VLOOKUP('DGNB LCA Results'!$I$3,Construction!$L$2:$S$104,2,FALSE)*'DGNB LCA Results'!$J$3,IF('DGNB LCA Results'!$P$4=2,VLOOKUP('DGNB LCA Results'!$M$3,Construction!$L$2:$S$104,2,FALSE)*'DGNB LCA Results'!$N$3+VLOOKUP('DGNB LCA Results'!$K$3,Construction!$L$2:$S$104,2,FALSE)*'DGNB LCA Results'!$L$3,IF('DGNB LCA Results'!$P$4=1,VLOOKUP('DGNB LCA Results'!$M$3,Construction!$L$2:$S$104,2,FALSE)*'DGNB LCA Results'!$N$3,0))))</f>
        <v>0</v>
      </c>
      <c r="N10" s="59">
        <f>IF('DGNB LCA Results'!$P$4=4,VLOOKUP('DGNB LCA Results'!$M$3,Construction!$L$2:$S$104,3,FALSE)*'DGNB LCA Results'!$N$3+VLOOKUP('DGNB LCA Results'!$K$3,Construction!$L$2:$S$104,3,FALSE)*'DGNB LCA Results'!$L$3+VLOOKUP('DGNB LCA Results'!$I$3,Construction!$L$2:$S$104,3,FALSE)*'DGNB LCA Results'!$J$3+VLOOKUP('DGNB LCA Results'!$G$3,Construction!$L$2:$S$104,3,FALSE)*'DGNB LCA Results'!$H$3,IF('DGNB LCA Results'!$P$4=3,VLOOKUP('DGNB LCA Results'!$M$3,Construction!$L$2:$S$104,3,FALSE)*'DGNB LCA Results'!$N$3+VLOOKUP('DGNB LCA Results'!$K$3,Construction!$L$2:$S$104,3,FALSE)*'DGNB LCA Results'!$L$3+VLOOKUP('DGNB LCA Results'!$I$3,Construction!$L$2:$S$104,3,FALSE)*'DGNB LCA Results'!$J$3,IF('DGNB LCA Results'!$P$4=2,VLOOKUP('DGNB LCA Results'!$M$3,Construction!$L$2:$S$104,3,FALSE)*'DGNB LCA Results'!$N$3+VLOOKUP('DGNB LCA Results'!$K$3,Construction!$L$2:$S$104,3,FALSE)*'DGNB LCA Results'!$L$3,IF('DGNB LCA Results'!$P$4=1,VLOOKUP('DGNB LCA Results'!$M$3,Construction!$L$2:$S$104,3,FALSE)*'DGNB LCA Results'!$N$3,0))))</f>
        <v>0</v>
      </c>
      <c r="O10" s="56">
        <f>IF('DGNB LCA Results'!$P$4=4,VLOOKUP('DGNB LCA Results'!$M$3,Construction!$L$2:$S$104,4,FALSE)*'DGNB LCA Results'!$N$3+VLOOKUP('DGNB LCA Results'!$K$3,Construction!$L$2:$S$104,4,FALSE)*'DGNB LCA Results'!$L$3+VLOOKUP('DGNB LCA Results'!$I$3,Construction!$L$2:$S$104,4,FALSE)*'DGNB LCA Results'!$J$3+VLOOKUP('DGNB LCA Results'!$G$3,Construction!$L$2:$S$104,4,FALSE)*'DGNB LCA Results'!$H$3,IF('DGNB LCA Results'!$P$4=3,VLOOKUP('DGNB LCA Results'!$M$3,Construction!$L$2:$S$104,4,FALSE)*'DGNB LCA Results'!$N$3+VLOOKUP('DGNB LCA Results'!$K$3,Construction!$L$2:$S$104,4,FALSE)*'DGNB LCA Results'!$L$3+VLOOKUP('DGNB LCA Results'!$I$3,Construction!$L$2:$S$104,4,FALSE)*'DGNB LCA Results'!$J$3,IF('DGNB LCA Results'!$P$4=2,VLOOKUP('DGNB LCA Results'!$M$3,Construction!$L$2:$S$104,4,FALSE)*'DGNB LCA Results'!$N$3+VLOOKUP('DGNB LCA Results'!$K$3,Construction!$L$2:$S$104,4,FALSE)*'DGNB LCA Results'!$L$3,IF('DGNB LCA Results'!$P$4=1,VLOOKUP('DGNB LCA Results'!$M$3,Construction!$L$2:$S$104,4,FALSE)*'DGNB LCA Results'!$N$3,0))))</f>
        <v>0</v>
      </c>
      <c r="P10" s="56">
        <f>IF('DGNB LCA Results'!$P$4=4,VLOOKUP('DGNB LCA Results'!$M$3,Construction!$L$2:$S$104,5,FALSE)*'DGNB LCA Results'!$N$3+VLOOKUP('DGNB LCA Results'!$K$3,Construction!$L$2:$S$104,5,FALSE)*'DGNB LCA Results'!$L$3+VLOOKUP('DGNB LCA Results'!$I$3,Construction!$L$2:$S$104,5,FALSE)*'DGNB LCA Results'!$J$3+VLOOKUP('DGNB LCA Results'!$G$3,Construction!$L$2:$S$104,5,FALSE)*'DGNB LCA Results'!$H$3,IF('DGNB LCA Results'!$P$4=3,VLOOKUP('DGNB LCA Results'!$M$3,Construction!$L$2:$S$104,5,FALSE)*'DGNB LCA Results'!$N$3+VLOOKUP('DGNB LCA Results'!$K$3,Construction!$L$2:$S$104,5,FALSE)*'DGNB LCA Results'!$L$3+VLOOKUP('DGNB LCA Results'!$I$3,Construction!$L$2:$S$104,5,FALSE)*'DGNB LCA Results'!$J$3,IF('DGNB LCA Results'!$P$4=2,VLOOKUP('DGNB LCA Results'!$M$3,Construction!$L$2:$S$104,5,FALSE)*'DGNB LCA Results'!$N$3+VLOOKUP('DGNB LCA Results'!$K$3,Construction!$L$2:$S$104,5,FALSE)*'DGNB LCA Results'!$L$3,IF('DGNB LCA Results'!$P$4=1,VLOOKUP('DGNB LCA Results'!$M$3,Construction!$L$2:$S$104,5,FALSE)*'DGNB LCA Results'!$N$3,0))))</f>
        <v>0</v>
      </c>
      <c r="Q10" s="56">
        <f>IF('DGNB LCA Results'!$P$4=4,VLOOKUP('DGNB LCA Results'!$M$3,Construction!$L$2:$S$104,6,FALSE)*'DGNB LCA Results'!$N$3+VLOOKUP('DGNB LCA Results'!$K$3,Construction!$L$2:$S$104,6,FALSE)*'DGNB LCA Results'!$L$3+VLOOKUP('DGNB LCA Results'!$I$3,Construction!$L$2:$S$104,6,FALSE)*'DGNB LCA Results'!$J$3+VLOOKUP('DGNB LCA Results'!$G$3,Construction!$L$2:$S$104,6,FALSE)*'DGNB LCA Results'!$H$3,IF('DGNB LCA Results'!$P$4=3,VLOOKUP('DGNB LCA Results'!$M$3,Construction!$L$2:$S$104,6,FALSE)*'DGNB LCA Results'!$N$3+VLOOKUP('DGNB LCA Results'!$K$3,Construction!$L$2:$S$104,6,FALSE)*'DGNB LCA Results'!$L$3+VLOOKUP('DGNB LCA Results'!$I$3,Construction!$L$2:$S$104,6,FALSE)*'DGNB LCA Results'!$J$3,IF('DGNB LCA Results'!$P$4=2,VLOOKUP('DGNB LCA Results'!$M$3,Construction!$L$2:$S$104,6,FALSE)*'DGNB LCA Results'!$N$3+VLOOKUP('DGNB LCA Results'!$K$3,Construction!$L$2:$S$104,6,FALSE)*'DGNB LCA Results'!$L$3,IF('DGNB LCA Results'!$P$4=1,VLOOKUP('DGNB LCA Results'!$M$3,Construction!$L$2:$S$104,6,FALSE)*'DGNB LCA Results'!$N$3,0))))</f>
        <v>0</v>
      </c>
      <c r="R10" s="56">
        <f>IF('DGNB LCA Results'!$P$4=4,VLOOKUP('DGNB LCA Results'!$M$3,Construction!$L$2:$S$104,7,FALSE)*'DGNB LCA Results'!$N$3+VLOOKUP('DGNB LCA Results'!$K$3,Construction!$L$2:$S$104,7,FALSE)*'DGNB LCA Results'!$L$3+VLOOKUP('DGNB LCA Results'!$I$3,Construction!$L$2:$S$104,7,FALSE)*'DGNB LCA Results'!$J$3+VLOOKUP('DGNB LCA Results'!$G$3,Construction!$L$2:$S$104,7,FALSE)*'DGNB LCA Results'!$H$3,IF('DGNB LCA Results'!$P$4=3,VLOOKUP('DGNB LCA Results'!$M$3,Construction!$L$2:$S$104,7,FALSE)*'DGNB LCA Results'!$N$3+VLOOKUP('DGNB LCA Results'!$K$3,Construction!$L$2:$S$104,7,FALSE)*'DGNB LCA Results'!$L$3+VLOOKUP('DGNB LCA Results'!$I$3,Construction!$L$2:$S$104,7,FALSE)*'DGNB LCA Results'!$J$3,IF('DGNB LCA Results'!$P$4=2,VLOOKUP('DGNB LCA Results'!$M$3,Construction!$L$2:$S$104,7,FALSE)*'DGNB LCA Results'!$N$3+VLOOKUP('DGNB LCA Results'!$K$3,Construction!$L$2:$S$104,7,FALSE)*'DGNB LCA Results'!$L$3,IF('DGNB LCA Results'!$P$4=1,VLOOKUP('DGNB LCA Results'!$M$3,Construction!$L$2:$S$104,7,FALSE)*'DGNB LCA Results'!$N$3,0))))</f>
        <v>0</v>
      </c>
      <c r="S10" s="56">
        <f>IF('DGNB LCA Results'!$P$4=4,VLOOKUP('DGNB LCA Results'!$M$3,Construction!$L$2:$S$104,8,FALSE)*'DGNB LCA Results'!$N$3+VLOOKUP('DGNB LCA Results'!$K$3,Construction!$L$2:$S$104,8,FALSE)*'DGNB LCA Results'!$L$3+VLOOKUP('DGNB LCA Results'!$I$3,Construction!$L$2:$S$104,8,FALSE)*'DGNB LCA Results'!$J$3+VLOOKUP('DGNB LCA Results'!$G$3,Construction!$L$2:$S$104,8,FALSE)*'DGNB LCA Results'!$H$3,IF('DGNB LCA Results'!$P$4=3,VLOOKUP('DGNB LCA Results'!$M$3,Construction!$L$2:$S$104,8,FALSE)*'DGNB LCA Results'!$N$3+VLOOKUP('DGNB LCA Results'!$K$3,Construction!$L$2:$S$104,8,FALSE)*'DGNB LCA Results'!$L$3+VLOOKUP('DGNB LCA Results'!$I$3,Construction!$L$2:$S$104,8,FALSE)*'DGNB LCA Results'!$J$3,IF('DGNB LCA Results'!$P$4=2,VLOOKUP('DGNB LCA Results'!$M$3,Construction!$L$2:$S$104,8,FALSE)*'DGNB LCA Results'!$N$3+VLOOKUP('DGNB LCA Results'!$K$3,Construction!$L$2:$S$104,8,FALSE)*'DGNB LCA Results'!$L$3,IF('DGNB LCA Results'!$P$4=1,VLOOKUP('DGNB LCA Results'!$M$3,Construction!$L$2:$S$104,8,FALSE)*'DGNB LCA Results'!$N$3,0))))</f>
        <v>0</v>
      </c>
      <c r="U10" s="56" t="s">
        <v>91</v>
      </c>
      <c r="V10" s="56" t="s">
        <v>73</v>
      </c>
      <c r="W10" s="57" t="s">
        <v>81</v>
      </c>
    </row>
    <row r="11" spans="1:24" ht="16" x14ac:dyDescent="0.2">
      <c r="A11" s="253" t="s">
        <v>170</v>
      </c>
      <c r="B11" s="254" t="s">
        <v>85</v>
      </c>
      <c r="C11" s="56">
        <v>9.4</v>
      </c>
      <c r="D11" s="59">
        <v>5.3000000000000001E-7</v>
      </c>
      <c r="E11" s="56">
        <v>3.0999999999999999E-3</v>
      </c>
      <c r="F11" s="56">
        <v>2.4E-2</v>
      </c>
      <c r="G11" s="56">
        <v>4.0000000000000001E-3</v>
      </c>
      <c r="H11" s="56">
        <v>173.9</v>
      </c>
      <c r="I11" s="56">
        <v>223.2</v>
      </c>
      <c r="K11" s="256" t="s">
        <v>71</v>
      </c>
      <c r="L11" s="210" t="s">
        <v>192</v>
      </c>
      <c r="M11" s="56">
        <f>IF('DGNB LCA Results'!$P$4=4,VLOOKUP('DGNB LCA Results'!$M$3,Construction!$L$2:$S$104,2,FALSE)*'DGNB LCA Results'!$N$3+VLOOKUP('DGNB LCA Results'!$K$3,Construction!$L$2:$S$104,2,FALSE)*'DGNB LCA Results'!$L$3+VLOOKUP('DGNB LCA Results'!$I$3,Construction!$L$2:$S$104,2,FALSE)*'DGNB LCA Results'!$J$3+VLOOKUP('DGNB LCA Results'!$G$3,Construction!$L$2:$S$104,2,FALSE)*'DGNB LCA Results'!$H$3,IF('DGNB LCA Results'!$P$4=3,VLOOKUP('DGNB LCA Results'!$M$3,Construction!$L$2:$S$104,2,FALSE)*'DGNB LCA Results'!$N$3+VLOOKUP('DGNB LCA Results'!$K$3,Construction!$L$2:$S$104,2,FALSE)*'DGNB LCA Results'!$L$3+VLOOKUP('DGNB LCA Results'!$I$3,Construction!$L$2:$S$104,2,FALSE)*'DGNB LCA Results'!$J$3,IF('DGNB LCA Results'!$P$4=2,VLOOKUP('DGNB LCA Results'!$M$3,Construction!$L$2:$S$104,2,FALSE)*'DGNB LCA Results'!$N$3+VLOOKUP('DGNB LCA Results'!$K$3,Construction!$L$2:$S$104,2,FALSE)*'DGNB LCA Results'!$L$3,IF('DGNB LCA Results'!$P$4=1,VLOOKUP('DGNB LCA Results'!$M$3,Construction!$L$2:$S$104,2,FALSE)*'DGNB LCA Results'!$N$3,0))))</f>
        <v>0</v>
      </c>
      <c r="N11" s="59">
        <f>IF('DGNB LCA Results'!$P$4=4,VLOOKUP('DGNB LCA Results'!$M$3,Construction!$L$2:$S$104,3,FALSE)*'DGNB LCA Results'!$N$3+VLOOKUP('DGNB LCA Results'!$K$3,Construction!$L$2:$S$104,3,FALSE)*'DGNB LCA Results'!$L$3+VLOOKUP('DGNB LCA Results'!$I$3,Construction!$L$2:$S$104,3,FALSE)*'DGNB LCA Results'!$J$3+VLOOKUP('DGNB LCA Results'!$G$3,Construction!$L$2:$S$104,3,FALSE)*'DGNB LCA Results'!$H$3,IF('DGNB LCA Results'!$P$4=3,VLOOKUP('DGNB LCA Results'!$M$3,Construction!$L$2:$S$104,3,FALSE)*'DGNB LCA Results'!$N$3+VLOOKUP('DGNB LCA Results'!$K$3,Construction!$L$2:$S$104,3,FALSE)*'DGNB LCA Results'!$L$3+VLOOKUP('DGNB LCA Results'!$I$3,Construction!$L$2:$S$104,3,FALSE)*'DGNB LCA Results'!$J$3,IF('DGNB LCA Results'!$P$4=2,VLOOKUP('DGNB LCA Results'!$M$3,Construction!$L$2:$S$104,3,FALSE)*'DGNB LCA Results'!$N$3+VLOOKUP('DGNB LCA Results'!$K$3,Construction!$L$2:$S$104,3,FALSE)*'DGNB LCA Results'!$L$3,IF('DGNB LCA Results'!$P$4=1,VLOOKUP('DGNB LCA Results'!$M$3,Construction!$L$2:$S$104,3,FALSE)*'DGNB LCA Results'!$N$3,0))))</f>
        <v>0</v>
      </c>
      <c r="O11" s="56">
        <f>IF('DGNB LCA Results'!$P$4=4,VLOOKUP('DGNB LCA Results'!$M$3,Construction!$L$2:$S$104,4,FALSE)*'DGNB LCA Results'!$N$3+VLOOKUP('DGNB LCA Results'!$K$3,Construction!$L$2:$S$104,4,FALSE)*'DGNB LCA Results'!$L$3+VLOOKUP('DGNB LCA Results'!$I$3,Construction!$L$2:$S$104,4,FALSE)*'DGNB LCA Results'!$J$3+VLOOKUP('DGNB LCA Results'!$G$3,Construction!$L$2:$S$104,4,FALSE)*'DGNB LCA Results'!$H$3,IF('DGNB LCA Results'!$P$4=3,VLOOKUP('DGNB LCA Results'!$M$3,Construction!$L$2:$S$104,4,FALSE)*'DGNB LCA Results'!$N$3+VLOOKUP('DGNB LCA Results'!$K$3,Construction!$L$2:$S$104,4,FALSE)*'DGNB LCA Results'!$L$3+VLOOKUP('DGNB LCA Results'!$I$3,Construction!$L$2:$S$104,4,FALSE)*'DGNB LCA Results'!$J$3,IF('DGNB LCA Results'!$P$4=2,VLOOKUP('DGNB LCA Results'!$M$3,Construction!$L$2:$S$104,4,FALSE)*'DGNB LCA Results'!$N$3+VLOOKUP('DGNB LCA Results'!$K$3,Construction!$L$2:$S$104,4,FALSE)*'DGNB LCA Results'!$L$3,IF('DGNB LCA Results'!$P$4=1,VLOOKUP('DGNB LCA Results'!$M$3,Construction!$L$2:$S$104,4,FALSE)*'DGNB LCA Results'!$N$3,0))))</f>
        <v>0</v>
      </c>
      <c r="P11" s="56">
        <f>IF('DGNB LCA Results'!$P$4=4,VLOOKUP('DGNB LCA Results'!$M$3,Construction!$L$2:$S$104,5,FALSE)*'DGNB LCA Results'!$N$3+VLOOKUP('DGNB LCA Results'!$K$3,Construction!$L$2:$S$104,5,FALSE)*'DGNB LCA Results'!$L$3+VLOOKUP('DGNB LCA Results'!$I$3,Construction!$L$2:$S$104,5,FALSE)*'DGNB LCA Results'!$J$3+VLOOKUP('DGNB LCA Results'!$G$3,Construction!$L$2:$S$104,5,FALSE)*'DGNB LCA Results'!$H$3,IF('DGNB LCA Results'!$P$4=3,VLOOKUP('DGNB LCA Results'!$M$3,Construction!$L$2:$S$104,5,FALSE)*'DGNB LCA Results'!$N$3+VLOOKUP('DGNB LCA Results'!$K$3,Construction!$L$2:$S$104,5,FALSE)*'DGNB LCA Results'!$L$3+VLOOKUP('DGNB LCA Results'!$I$3,Construction!$L$2:$S$104,5,FALSE)*'DGNB LCA Results'!$J$3,IF('DGNB LCA Results'!$P$4=2,VLOOKUP('DGNB LCA Results'!$M$3,Construction!$L$2:$S$104,5,FALSE)*'DGNB LCA Results'!$N$3+VLOOKUP('DGNB LCA Results'!$K$3,Construction!$L$2:$S$104,5,FALSE)*'DGNB LCA Results'!$L$3,IF('DGNB LCA Results'!$P$4=1,VLOOKUP('DGNB LCA Results'!$M$3,Construction!$L$2:$S$104,5,FALSE)*'DGNB LCA Results'!$N$3,0))))</f>
        <v>0</v>
      </c>
      <c r="Q11" s="56">
        <f>IF('DGNB LCA Results'!$P$4=4,VLOOKUP('DGNB LCA Results'!$M$3,Construction!$L$2:$S$104,6,FALSE)*'DGNB LCA Results'!$N$3+VLOOKUP('DGNB LCA Results'!$K$3,Construction!$L$2:$S$104,6,FALSE)*'DGNB LCA Results'!$L$3+VLOOKUP('DGNB LCA Results'!$I$3,Construction!$L$2:$S$104,6,FALSE)*'DGNB LCA Results'!$J$3+VLOOKUP('DGNB LCA Results'!$G$3,Construction!$L$2:$S$104,6,FALSE)*'DGNB LCA Results'!$H$3,IF('DGNB LCA Results'!$P$4=3,VLOOKUP('DGNB LCA Results'!$M$3,Construction!$L$2:$S$104,6,FALSE)*'DGNB LCA Results'!$N$3+VLOOKUP('DGNB LCA Results'!$K$3,Construction!$L$2:$S$104,6,FALSE)*'DGNB LCA Results'!$L$3+VLOOKUP('DGNB LCA Results'!$I$3,Construction!$L$2:$S$104,6,FALSE)*'DGNB LCA Results'!$J$3,IF('DGNB LCA Results'!$P$4=2,VLOOKUP('DGNB LCA Results'!$M$3,Construction!$L$2:$S$104,6,FALSE)*'DGNB LCA Results'!$N$3+VLOOKUP('DGNB LCA Results'!$K$3,Construction!$L$2:$S$104,6,FALSE)*'DGNB LCA Results'!$L$3,IF('DGNB LCA Results'!$P$4=1,VLOOKUP('DGNB LCA Results'!$M$3,Construction!$L$2:$S$104,6,FALSE)*'DGNB LCA Results'!$N$3,0))))</f>
        <v>0</v>
      </c>
      <c r="R11" s="56">
        <f>IF('DGNB LCA Results'!$P$4=4,VLOOKUP('DGNB LCA Results'!$M$3,Construction!$L$2:$S$104,7,FALSE)*'DGNB LCA Results'!$N$3+VLOOKUP('DGNB LCA Results'!$K$3,Construction!$L$2:$S$104,7,FALSE)*'DGNB LCA Results'!$L$3+VLOOKUP('DGNB LCA Results'!$I$3,Construction!$L$2:$S$104,7,FALSE)*'DGNB LCA Results'!$J$3+VLOOKUP('DGNB LCA Results'!$G$3,Construction!$L$2:$S$104,7,FALSE)*'DGNB LCA Results'!$H$3,IF('DGNB LCA Results'!$P$4=3,VLOOKUP('DGNB LCA Results'!$M$3,Construction!$L$2:$S$104,7,FALSE)*'DGNB LCA Results'!$N$3+VLOOKUP('DGNB LCA Results'!$K$3,Construction!$L$2:$S$104,7,FALSE)*'DGNB LCA Results'!$L$3+VLOOKUP('DGNB LCA Results'!$I$3,Construction!$L$2:$S$104,7,FALSE)*'DGNB LCA Results'!$J$3,IF('DGNB LCA Results'!$P$4=2,VLOOKUP('DGNB LCA Results'!$M$3,Construction!$L$2:$S$104,7,FALSE)*'DGNB LCA Results'!$N$3+VLOOKUP('DGNB LCA Results'!$K$3,Construction!$L$2:$S$104,7,FALSE)*'DGNB LCA Results'!$L$3,IF('DGNB LCA Results'!$P$4=1,VLOOKUP('DGNB LCA Results'!$M$3,Construction!$L$2:$S$104,7,FALSE)*'DGNB LCA Results'!$N$3,0))))</f>
        <v>0</v>
      </c>
      <c r="S11" s="56">
        <f>IF('DGNB LCA Results'!$P$4=4,VLOOKUP('DGNB LCA Results'!$M$3,Construction!$L$2:$S$104,8,FALSE)*'DGNB LCA Results'!$N$3+VLOOKUP('DGNB LCA Results'!$K$3,Construction!$L$2:$S$104,8,FALSE)*'DGNB LCA Results'!$L$3+VLOOKUP('DGNB LCA Results'!$I$3,Construction!$L$2:$S$104,8,FALSE)*'DGNB LCA Results'!$J$3+VLOOKUP('DGNB LCA Results'!$G$3,Construction!$L$2:$S$104,8,FALSE)*'DGNB LCA Results'!$H$3,IF('DGNB LCA Results'!$P$4=3,VLOOKUP('DGNB LCA Results'!$M$3,Construction!$L$2:$S$104,8,FALSE)*'DGNB LCA Results'!$N$3+VLOOKUP('DGNB LCA Results'!$K$3,Construction!$L$2:$S$104,8,FALSE)*'DGNB LCA Results'!$L$3+VLOOKUP('DGNB LCA Results'!$I$3,Construction!$L$2:$S$104,8,FALSE)*'DGNB LCA Results'!$J$3,IF('DGNB LCA Results'!$P$4=2,VLOOKUP('DGNB LCA Results'!$M$3,Construction!$L$2:$S$104,8,FALSE)*'DGNB LCA Results'!$N$3+VLOOKUP('DGNB LCA Results'!$K$3,Construction!$L$2:$S$104,8,FALSE)*'DGNB LCA Results'!$L$3,IF('DGNB LCA Results'!$P$4=1,VLOOKUP('DGNB LCA Results'!$M$3,Construction!$L$2:$S$104,8,FALSE)*'DGNB LCA Results'!$N$3,0))))</f>
        <v>0</v>
      </c>
      <c r="U11" s="56"/>
      <c r="V11" s="56"/>
      <c r="W11" s="57" t="s">
        <v>204</v>
      </c>
    </row>
    <row r="12" spans="1:24" ht="16" x14ac:dyDescent="0.2">
      <c r="A12" s="253" t="s">
        <v>170</v>
      </c>
      <c r="B12" s="254" t="s">
        <v>86</v>
      </c>
      <c r="C12" s="56">
        <v>9.4</v>
      </c>
      <c r="D12" s="59">
        <v>5.3000000000000001E-7</v>
      </c>
      <c r="E12" s="56">
        <v>3.0999999999999999E-3</v>
      </c>
      <c r="F12" s="56">
        <v>2.4E-2</v>
      </c>
      <c r="G12" s="56">
        <v>4.0000000000000001E-3</v>
      </c>
      <c r="H12" s="56">
        <v>173.9</v>
      </c>
      <c r="I12" s="56">
        <v>223.2</v>
      </c>
      <c r="K12" s="256" t="s">
        <v>71</v>
      </c>
      <c r="L12" s="210" t="s">
        <v>207</v>
      </c>
      <c r="M12" s="56">
        <f>IF('DGNB LCA Results'!$P$4=4,VLOOKUP('DGNB LCA Results'!$M$3,Construction!$L$2:$S$104,2,FALSE)*'DGNB LCA Results'!$N$3+VLOOKUP('DGNB LCA Results'!$K$3,Construction!$L$2:$S$104,2,FALSE)*'DGNB LCA Results'!$L$3+VLOOKUP('DGNB LCA Results'!$I$3,Construction!$L$2:$S$104,2,FALSE)*'DGNB LCA Results'!$J$3+VLOOKUP('DGNB LCA Results'!$G$3,Construction!$L$2:$S$104,2,FALSE)*'DGNB LCA Results'!$H$3,IF('DGNB LCA Results'!$P$4=3,VLOOKUP('DGNB LCA Results'!$M$3,Construction!$L$2:$S$104,2,FALSE)*'DGNB LCA Results'!$N$3+VLOOKUP('DGNB LCA Results'!$K$3,Construction!$L$2:$S$104,2,FALSE)*'DGNB LCA Results'!$L$3+VLOOKUP('DGNB LCA Results'!$I$3,Construction!$L$2:$S$104,2,FALSE)*'DGNB LCA Results'!$J$3,IF('DGNB LCA Results'!$P$4=2,VLOOKUP('DGNB LCA Results'!$M$3,Construction!$L$2:$S$104,2,FALSE)*'DGNB LCA Results'!$N$3+VLOOKUP('DGNB LCA Results'!$K$3,Construction!$L$2:$S$104,2,FALSE)*'DGNB LCA Results'!$L$3,IF('DGNB LCA Results'!$P$4=1,VLOOKUP('DGNB LCA Results'!$M$3,Construction!$L$2:$S$104,2,FALSE)*'DGNB LCA Results'!$N$3,0))))</f>
        <v>0</v>
      </c>
      <c r="N12" s="59">
        <f>IF('DGNB LCA Results'!$P$4=4,VLOOKUP('DGNB LCA Results'!$M$3,Construction!$L$2:$S$104,3,FALSE)*'DGNB LCA Results'!$N$3+VLOOKUP('DGNB LCA Results'!$K$3,Construction!$L$2:$S$104,3,FALSE)*'DGNB LCA Results'!$L$3+VLOOKUP('DGNB LCA Results'!$I$3,Construction!$L$2:$S$104,3,FALSE)*'DGNB LCA Results'!$J$3+VLOOKUP('DGNB LCA Results'!$G$3,Construction!$L$2:$S$104,3,FALSE)*'DGNB LCA Results'!$H$3,IF('DGNB LCA Results'!$P$4=3,VLOOKUP('DGNB LCA Results'!$M$3,Construction!$L$2:$S$104,3,FALSE)*'DGNB LCA Results'!$N$3+VLOOKUP('DGNB LCA Results'!$K$3,Construction!$L$2:$S$104,3,FALSE)*'DGNB LCA Results'!$L$3+VLOOKUP('DGNB LCA Results'!$I$3,Construction!$L$2:$S$104,3,FALSE)*'DGNB LCA Results'!$J$3,IF('DGNB LCA Results'!$P$4=2,VLOOKUP('DGNB LCA Results'!$M$3,Construction!$L$2:$S$104,3,FALSE)*'DGNB LCA Results'!$N$3+VLOOKUP('DGNB LCA Results'!$K$3,Construction!$L$2:$S$104,3,FALSE)*'DGNB LCA Results'!$L$3,IF('DGNB LCA Results'!$P$4=1,VLOOKUP('DGNB LCA Results'!$M$3,Construction!$L$2:$S$104,3,FALSE)*'DGNB LCA Results'!$N$3,0))))</f>
        <v>0</v>
      </c>
      <c r="O12" s="56">
        <f>IF('DGNB LCA Results'!$P$4=4,VLOOKUP('DGNB LCA Results'!$M$3,Construction!$L$2:$S$104,4,FALSE)*'DGNB LCA Results'!$N$3+VLOOKUP('DGNB LCA Results'!$K$3,Construction!$L$2:$S$104,4,FALSE)*'DGNB LCA Results'!$L$3+VLOOKUP('DGNB LCA Results'!$I$3,Construction!$L$2:$S$104,4,FALSE)*'DGNB LCA Results'!$J$3+VLOOKUP('DGNB LCA Results'!$G$3,Construction!$L$2:$S$104,4,FALSE)*'DGNB LCA Results'!$H$3,IF('DGNB LCA Results'!$P$4=3,VLOOKUP('DGNB LCA Results'!$M$3,Construction!$L$2:$S$104,4,FALSE)*'DGNB LCA Results'!$N$3+VLOOKUP('DGNB LCA Results'!$K$3,Construction!$L$2:$S$104,4,FALSE)*'DGNB LCA Results'!$L$3+VLOOKUP('DGNB LCA Results'!$I$3,Construction!$L$2:$S$104,4,FALSE)*'DGNB LCA Results'!$J$3,IF('DGNB LCA Results'!$P$4=2,VLOOKUP('DGNB LCA Results'!$M$3,Construction!$L$2:$S$104,4,FALSE)*'DGNB LCA Results'!$N$3+VLOOKUP('DGNB LCA Results'!$K$3,Construction!$L$2:$S$104,4,FALSE)*'DGNB LCA Results'!$L$3,IF('DGNB LCA Results'!$P$4=1,VLOOKUP('DGNB LCA Results'!$M$3,Construction!$L$2:$S$104,4,FALSE)*'DGNB LCA Results'!$N$3,0))))</f>
        <v>0</v>
      </c>
      <c r="P12" s="56">
        <f>IF('DGNB LCA Results'!$P$4=4,VLOOKUP('DGNB LCA Results'!$M$3,Construction!$L$2:$S$104,5,FALSE)*'DGNB LCA Results'!$N$3+VLOOKUP('DGNB LCA Results'!$K$3,Construction!$L$2:$S$104,5,FALSE)*'DGNB LCA Results'!$L$3+VLOOKUP('DGNB LCA Results'!$I$3,Construction!$L$2:$S$104,5,FALSE)*'DGNB LCA Results'!$J$3+VLOOKUP('DGNB LCA Results'!$G$3,Construction!$L$2:$S$104,5,FALSE)*'DGNB LCA Results'!$H$3,IF('DGNB LCA Results'!$P$4=3,VLOOKUP('DGNB LCA Results'!$M$3,Construction!$L$2:$S$104,5,FALSE)*'DGNB LCA Results'!$N$3+VLOOKUP('DGNB LCA Results'!$K$3,Construction!$L$2:$S$104,5,FALSE)*'DGNB LCA Results'!$L$3+VLOOKUP('DGNB LCA Results'!$I$3,Construction!$L$2:$S$104,5,FALSE)*'DGNB LCA Results'!$J$3,IF('DGNB LCA Results'!$P$4=2,VLOOKUP('DGNB LCA Results'!$M$3,Construction!$L$2:$S$104,5,FALSE)*'DGNB LCA Results'!$N$3+VLOOKUP('DGNB LCA Results'!$K$3,Construction!$L$2:$S$104,5,FALSE)*'DGNB LCA Results'!$L$3,IF('DGNB LCA Results'!$P$4=1,VLOOKUP('DGNB LCA Results'!$M$3,Construction!$L$2:$S$104,5,FALSE)*'DGNB LCA Results'!$N$3,0))))</f>
        <v>0</v>
      </c>
      <c r="Q12" s="56">
        <f>IF('DGNB LCA Results'!$P$4=4,VLOOKUP('DGNB LCA Results'!$M$3,Construction!$L$2:$S$104,6,FALSE)*'DGNB LCA Results'!$N$3+VLOOKUP('DGNB LCA Results'!$K$3,Construction!$L$2:$S$104,6,FALSE)*'DGNB LCA Results'!$L$3+VLOOKUP('DGNB LCA Results'!$I$3,Construction!$L$2:$S$104,6,FALSE)*'DGNB LCA Results'!$J$3+VLOOKUP('DGNB LCA Results'!$G$3,Construction!$L$2:$S$104,6,FALSE)*'DGNB LCA Results'!$H$3,IF('DGNB LCA Results'!$P$4=3,VLOOKUP('DGNB LCA Results'!$M$3,Construction!$L$2:$S$104,6,FALSE)*'DGNB LCA Results'!$N$3+VLOOKUP('DGNB LCA Results'!$K$3,Construction!$L$2:$S$104,6,FALSE)*'DGNB LCA Results'!$L$3+VLOOKUP('DGNB LCA Results'!$I$3,Construction!$L$2:$S$104,6,FALSE)*'DGNB LCA Results'!$J$3,IF('DGNB LCA Results'!$P$4=2,VLOOKUP('DGNB LCA Results'!$M$3,Construction!$L$2:$S$104,6,FALSE)*'DGNB LCA Results'!$N$3+VLOOKUP('DGNB LCA Results'!$K$3,Construction!$L$2:$S$104,6,FALSE)*'DGNB LCA Results'!$L$3,IF('DGNB LCA Results'!$P$4=1,VLOOKUP('DGNB LCA Results'!$M$3,Construction!$L$2:$S$104,6,FALSE)*'DGNB LCA Results'!$N$3,0))))</f>
        <v>0</v>
      </c>
      <c r="R12" s="56">
        <f>IF('DGNB LCA Results'!$P$4=4,VLOOKUP('DGNB LCA Results'!$M$3,Construction!$L$2:$S$104,7,FALSE)*'DGNB LCA Results'!$N$3+VLOOKUP('DGNB LCA Results'!$K$3,Construction!$L$2:$S$104,7,FALSE)*'DGNB LCA Results'!$L$3+VLOOKUP('DGNB LCA Results'!$I$3,Construction!$L$2:$S$104,7,FALSE)*'DGNB LCA Results'!$J$3+VLOOKUP('DGNB LCA Results'!$G$3,Construction!$L$2:$S$104,7,FALSE)*'DGNB LCA Results'!$H$3,IF('DGNB LCA Results'!$P$4=3,VLOOKUP('DGNB LCA Results'!$M$3,Construction!$L$2:$S$104,7,FALSE)*'DGNB LCA Results'!$N$3+VLOOKUP('DGNB LCA Results'!$K$3,Construction!$L$2:$S$104,7,FALSE)*'DGNB LCA Results'!$L$3+VLOOKUP('DGNB LCA Results'!$I$3,Construction!$L$2:$S$104,7,FALSE)*'DGNB LCA Results'!$J$3,IF('DGNB LCA Results'!$P$4=2,VLOOKUP('DGNB LCA Results'!$M$3,Construction!$L$2:$S$104,7,FALSE)*'DGNB LCA Results'!$N$3+VLOOKUP('DGNB LCA Results'!$K$3,Construction!$L$2:$S$104,7,FALSE)*'DGNB LCA Results'!$L$3,IF('DGNB LCA Results'!$P$4=1,VLOOKUP('DGNB LCA Results'!$M$3,Construction!$L$2:$S$104,7,FALSE)*'DGNB LCA Results'!$N$3,0))))</f>
        <v>0</v>
      </c>
      <c r="S12" s="56">
        <f>IF('DGNB LCA Results'!$P$4=4,VLOOKUP('DGNB LCA Results'!$M$3,Construction!$L$2:$S$104,8,FALSE)*'DGNB LCA Results'!$N$3+VLOOKUP('DGNB LCA Results'!$K$3,Construction!$L$2:$S$104,8,FALSE)*'DGNB LCA Results'!$L$3+VLOOKUP('DGNB LCA Results'!$I$3,Construction!$L$2:$S$104,8,FALSE)*'DGNB LCA Results'!$J$3+VLOOKUP('DGNB LCA Results'!$G$3,Construction!$L$2:$S$104,8,FALSE)*'DGNB LCA Results'!$H$3,IF('DGNB LCA Results'!$P$4=3,VLOOKUP('DGNB LCA Results'!$M$3,Construction!$L$2:$S$104,8,FALSE)*'DGNB LCA Results'!$N$3+VLOOKUP('DGNB LCA Results'!$K$3,Construction!$L$2:$S$104,8,FALSE)*'DGNB LCA Results'!$L$3+VLOOKUP('DGNB LCA Results'!$I$3,Construction!$L$2:$S$104,8,FALSE)*'DGNB LCA Results'!$J$3,IF('DGNB LCA Results'!$P$4=2,VLOOKUP('DGNB LCA Results'!$M$3,Construction!$L$2:$S$104,8,FALSE)*'DGNB LCA Results'!$N$3+VLOOKUP('DGNB LCA Results'!$K$3,Construction!$L$2:$S$104,8,FALSE)*'DGNB LCA Results'!$L$3,IF('DGNB LCA Results'!$P$4=1,VLOOKUP('DGNB LCA Results'!$M$3,Construction!$L$2:$S$104,8,FALSE)*'DGNB LCA Results'!$N$3,0))))</f>
        <v>0</v>
      </c>
      <c r="W12" s="57" t="s">
        <v>205</v>
      </c>
    </row>
    <row r="13" spans="1:24" ht="16" x14ac:dyDescent="0.2">
      <c r="A13" s="253" t="s">
        <v>170</v>
      </c>
      <c r="B13" s="254" t="s">
        <v>87</v>
      </c>
      <c r="C13" s="56">
        <v>9.4</v>
      </c>
      <c r="D13" s="59">
        <v>5.3000000000000001E-7</v>
      </c>
      <c r="E13" s="56">
        <v>3.0999999999999999E-3</v>
      </c>
      <c r="F13" s="56">
        <v>2.4E-2</v>
      </c>
      <c r="G13" s="56">
        <v>4.0000000000000001E-3</v>
      </c>
      <c r="H13" s="56">
        <v>173.9</v>
      </c>
      <c r="I13" s="56">
        <v>223.2</v>
      </c>
    </row>
    <row r="14" spans="1:24" ht="16" x14ac:dyDescent="0.2">
      <c r="A14" s="253" t="s">
        <v>170</v>
      </c>
      <c r="B14" s="254" t="s">
        <v>88</v>
      </c>
      <c r="C14" s="56">
        <v>9.4</v>
      </c>
      <c r="D14" s="59">
        <v>5.3000000000000001E-7</v>
      </c>
      <c r="E14" s="56">
        <v>3.0999999999999999E-3</v>
      </c>
      <c r="F14" s="56">
        <v>2.4E-2</v>
      </c>
      <c r="G14" s="56">
        <v>4.0000000000000001E-3</v>
      </c>
      <c r="H14" s="56">
        <v>173.9</v>
      </c>
      <c r="I14" s="56">
        <v>223.2</v>
      </c>
    </row>
    <row r="15" spans="1:24" ht="16" x14ac:dyDescent="0.2">
      <c r="A15" s="253" t="s">
        <v>170</v>
      </c>
      <c r="B15" s="254" t="s">
        <v>89</v>
      </c>
      <c r="C15" s="56">
        <v>9.4</v>
      </c>
      <c r="D15" s="59">
        <v>5.3000000000000001E-7</v>
      </c>
      <c r="E15" s="56">
        <v>3.0999999999999999E-3</v>
      </c>
      <c r="F15" s="56">
        <v>2.4E-2</v>
      </c>
      <c r="G15" s="56">
        <v>4.0000000000000001E-3</v>
      </c>
      <c r="H15" s="56">
        <v>173.9</v>
      </c>
      <c r="I15" s="56">
        <v>223.2</v>
      </c>
    </row>
    <row r="16" spans="1:24" ht="16" x14ac:dyDescent="0.2">
      <c r="A16" s="253" t="s">
        <v>170</v>
      </c>
      <c r="B16" s="254" t="s">
        <v>90</v>
      </c>
      <c r="C16" s="56">
        <v>9.4</v>
      </c>
      <c r="D16" s="59">
        <v>5.3000000000000001E-7</v>
      </c>
      <c r="E16" s="56">
        <v>3.0999999999999999E-3</v>
      </c>
      <c r="F16" s="56">
        <v>2.4E-2</v>
      </c>
      <c r="G16" s="56">
        <v>4.0000000000000001E-3</v>
      </c>
      <c r="H16" s="56">
        <v>173.9</v>
      </c>
      <c r="I16" s="56">
        <v>223.2</v>
      </c>
    </row>
    <row r="17" spans="1:12" ht="16" x14ac:dyDescent="0.2">
      <c r="A17" s="253" t="s">
        <v>170</v>
      </c>
      <c r="B17" s="254" t="s">
        <v>72</v>
      </c>
      <c r="C17" s="56">
        <v>25</v>
      </c>
      <c r="D17" s="59">
        <v>9.9999999999999995E-8</v>
      </c>
      <c r="E17" s="56">
        <v>6.4999999999999997E-3</v>
      </c>
      <c r="F17" s="56">
        <v>0.06</v>
      </c>
      <c r="G17" s="56">
        <v>7.7999999999999996E-3</v>
      </c>
      <c r="H17" s="56">
        <v>252</v>
      </c>
      <c r="I17" s="56">
        <v>270</v>
      </c>
    </row>
    <row r="18" spans="1:12" ht="16" x14ac:dyDescent="0.2">
      <c r="A18" s="253" t="s">
        <v>170</v>
      </c>
      <c r="B18" s="254" t="s">
        <v>73</v>
      </c>
      <c r="C18" s="56">
        <v>25</v>
      </c>
      <c r="D18" s="59">
        <v>9.9999999999999995E-8</v>
      </c>
      <c r="E18" s="56">
        <v>6.4999999999999997E-3</v>
      </c>
      <c r="F18" s="56">
        <v>0.06</v>
      </c>
      <c r="G18" s="56">
        <v>7.7999999999999996E-3</v>
      </c>
      <c r="H18" s="56">
        <v>252</v>
      </c>
      <c r="I18" s="56">
        <v>270</v>
      </c>
    </row>
    <row r="19" spans="1:12" ht="16" x14ac:dyDescent="0.2">
      <c r="A19" s="253" t="s">
        <v>170</v>
      </c>
      <c r="B19" s="254" t="s">
        <v>75</v>
      </c>
      <c r="C19" s="56">
        <v>25</v>
      </c>
      <c r="D19" s="59">
        <v>9.9999999999999995E-8</v>
      </c>
      <c r="E19" s="56">
        <v>6.4999999999999997E-3</v>
      </c>
      <c r="F19" s="56">
        <v>0.06</v>
      </c>
      <c r="G19" s="56">
        <v>7.7999999999999996E-3</v>
      </c>
      <c r="H19" s="56">
        <v>252</v>
      </c>
      <c r="I19" s="56">
        <v>270</v>
      </c>
      <c r="L19" s="252"/>
    </row>
    <row r="20" spans="1:12" ht="16" x14ac:dyDescent="0.2">
      <c r="A20" s="253" t="s">
        <v>170</v>
      </c>
      <c r="B20" s="254" t="s">
        <v>77</v>
      </c>
      <c r="C20" s="56">
        <v>25</v>
      </c>
      <c r="D20" s="59">
        <v>9.9999999999999995E-8</v>
      </c>
      <c r="E20" s="56">
        <v>6.4999999999999997E-3</v>
      </c>
      <c r="F20" s="56">
        <v>0.06</v>
      </c>
      <c r="G20" s="56">
        <v>7.7999999999999996E-3</v>
      </c>
      <c r="H20" s="56">
        <v>252</v>
      </c>
      <c r="I20" s="56">
        <v>270</v>
      </c>
    </row>
    <row r="21" spans="1:12" ht="16" x14ac:dyDescent="0.2">
      <c r="A21" s="253" t="s">
        <v>170</v>
      </c>
      <c r="B21" s="254" t="s">
        <v>91</v>
      </c>
      <c r="C21" s="56">
        <v>9.4</v>
      </c>
      <c r="D21" s="59">
        <v>5.3000000000000001E-7</v>
      </c>
      <c r="E21" s="56">
        <v>4.1999999999999997E-3</v>
      </c>
      <c r="F21" s="56">
        <v>3.6999999999999998E-2</v>
      </c>
      <c r="G21" s="56">
        <v>4.7000000000000002E-3</v>
      </c>
      <c r="H21" s="56">
        <v>123</v>
      </c>
      <c r="I21" s="56">
        <v>151</v>
      </c>
    </row>
    <row r="22" spans="1:12" ht="16" x14ac:dyDescent="0.2">
      <c r="A22" s="253" t="s">
        <v>170</v>
      </c>
      <c r="B22" s="254" t="s">
        <v>92</v>
      </c>
      <c r="C22" s="56">
        <v>9.4</v>
      </c>
      <c r="D22" s="59">
        <v>5.3000000000000001E-7</v>
      </c>
      <c r="E22" s="56">
        <v>4.1999999999999997E-3</v>
      </c>
      <c r="F22" s="56">
        <v>3.6999999999999998E-2</v>
      </c>
      <c r="G22" s="56">
        <v>4.7000000000000002E-3</v>
      </c>
      <c r="H22" s="56">
        <v>123</v>
      </c>
      <c r="I22" s="56">
        <v>151</v>
      </c>
    </row>
    <row r="23" spans="1:12" ht="16" x14ac:dyDescent="0.2">
      <c r="A23" s="253" t="s">
        <v>170</v>
      </c>
      <c r="B23" s="254" t="s">
        <v>93</v>
      </c>
      <c r="C23" s="56">
        <v>9.4</v>
      </c>
      <c r="D23" s="59">
        <v>5.3000000000000001E-7</v>
      </c>
      <c r="E23" s="56">
        <v>4.1999999999999997E-3</v>
      </c>
      <c r="F23" s="56">
        <v>3.6999999999999998E-2</v>
      </c>
      <c r="G23" s="56">
        <v>4.7000000000000002E-3</v>
      </c>
      <c r="H23" s="56">
        <v>123</v>
      </c>
      <c r="I23" s="56">
        <v>151</v>
      </c>
    </row>
    <row r="24" spans="1:12" ht="16" x14ac:dyDescent="0.2">
      <c r="A24" s="253" t="s">
        <v>170</v>
      </c>
      <c r="B24" s="254" t="s">
        <v>94</v>
      </c>
      <c r="C24" s="56">
        <v>9.4</v>
      </c>
      <c r="D24" s="59">
        <v>5.3000000000000001E-7</v>
      </c>
      <c r="E24" s="56">
        <v>4.1999999999999997E-3</v>
      </c>
      <c r="F24" s="56">
        <v>3.6999999999999998E-2</v>
      </c>
      <c r="G24" s="56">
        <v>4.7000000000000002E-3</v>
      </c>
      <c r="H24" s="56">
        <v>123</v>
      </c>
      <c r="I24" s="56">
        <v>151</v>
      </c>
    </row>
    <row r="25" spans="1:12" ht="16" x14ac:dyDescent="0.2">
      <c r="A25" s="253" t="s">
        <v>170</v>
      </c>
      <c r="B25" s="254" t="s">
        <v>95</v>
      </c>
      <c r="C25" s="56">
        <v>9.4</v>
      </c>
      <c r="D25" s="59">
        <v>5.3000000000000001E-7</v>
      </c>
      <c r="E25" s="56">
        <v>4.1999999999999997E-3</v>
      </c>
      <c r="F25" s="56">
        <v>3.6999999999999998E-2</v>
      </c>
      <c r="G25" s="56">
        <v>4.7000000000000002E-3</v>
      </c>
      <c r="H25" s="56">
        <v>123</v>
      </c>
      <c r="I25" s="56">
        <v>151</v>
      </c>
    </row>
    <row r="26" spans="1:12" ht="16" x14ac:dyDescent="0.2">
      <c r="A26" s="253" t="s">
        <v>170</v>
      </c>
      <c r="B26" s="254" t="s">
        <v>96</v>
      </c>
      <c r="C26" s="56">
        <v>9.4</v>
      </c>
      <c r="D26" s="59">
        <v>5.3000000000000001E-7</v>
      </c>
      <c r="E26" s="56">
        <v>4.1999999999999997E-3</v>
      </c>
      <c r="F26" s="56">
        <v>3.6999999999999998E-2</v>
      </c>
      <c r="G26" s="56">
        <v>4.7000000000000002E-3</v>
      </c>
      <c r="H26" s="56">
        <v>123</v>
      </c>
      <c r="I26" s="56">
        <v>151</v>
      </c>
    </row>
    <row r="27" spans="1:12" ht="16" x14ac:dyDescent="0.2">
      <c r="A27" s="253" t="s">
        <v>170</v>
      </c>
      <c r="B27" s="254" t="s">
        <v>97</v>
      </c>
      <c r="C27" s="56">
        <v>9.4</v>
      </c>
      <c r="D27" s="59">
        <v>5.3000000000000001E-7</v>
      </c>
      <c r="E27" s="56">
        <v>4.1999999999999997E-3</v>
      </c>
      <c r="F27" s="56">
        <v>3.6999999999999998E-2</v>
      </c>
      <c r="G27" s="56">
        <v>4.7000000000000002E-3</v>
      </c>
      <c r="H27" s="56">
        <v>123</v>
      </c>
      <c r="I27" s="56">
        <v>151</v>
      </c>
    </row>
    <row r="28" spans="1:12" ht="16" x14ac:dyDescent="0.2">
      <c r="A28" s="253" t="s">
        <v>170</v>
      </c>
      <c r="B28" s="254" t="s">
        <v>98</v>
      </c>
      <c r="C28" s="56">
        <v>9.4</v>
      </c>
      <c r="D28" s="59">
        <v>5.3000000000000001E-7</v>
      </c>
      <c r="E28" s="56">
        <v>4.1999999999999997E-3</v>
      </c>
      <c r="F28" s="56">
        <v>3.6999999999999998E-2</v>
      </c>
      <c r="G28" s="56">
        <v>4.7000000000000002E-3</v>
      </c>
      <c r="H28" s="56">
        <v>123</v>
      </c>
      <c r="I28" s="56">
        <v>151</v>
      </c>
    </row>
    <row r="29" spans="1:12" ht="16" x14ac:dyDescent="0.2">
      <c r="A29" s="253" t="s">
        <v>170</v>
      </c>
      <c r="B29" s="254" t="s">
        <v>99</v>
      </c>
      <c r="C29" s="56">
        <v>9.4</v>
      </c>
      <c r="D29" s="59">
        <v>5.3000000000000001E-7</v>
      </c>
      <c r="E29" s="56">
        <v>4.1999999999999997E-3</v>
      </c>
      <c r="F29" s="56">
        <v>3.6999999999999998E-2</v>
      </c>
      <c r="G29" s="56">
        <v>4.7000000000000002E-3</v>
      </c>
      <c r="H29" s="56">
        <v>123</v>
      </c>
      <c r="I29" s="56">
        <v>151</v>
      </c>
    </row>
    <row r="30" spans="1:12" ht="16" x14ac:dyDescent="0.2">
      <c r="A30" s="253" t="s">
        <v>170</v>
      </c>
      <c r="B30" s="254" t="s">
        <v>100</v>
      </c>
      <c r="C30" s="56">
        <v>9.4</v>
      </c>
      <c r="D30" s="59">
        <v>5.3000000000000001E-7</v>
      </c>
      <c r="E30" s="56">
        <v>4.1999999999999997E-3</v>
      </c>
      <c r="F30" s="56">
        <v>3.6999999999999998E-2</v>
      </c>
      <c r="G30" s="56">
        <v>4.7000000000000002E-3</v>
      </c>
      <c r="H30" s="56">
        <v>123</v>
      </c>
      <c r="I30" s="56">
        <v>151</v>
      </c>
    </row>
    <row r="31" spans="1:12" ht="16" x14ac:dyDescent="0.2">
      <c r="A31" s="253" t="s">
        <v>170</v>
      </c>
      <c r="B31" s="254" t="s">
        <v>79</v>
      </c>
      <c r="C31" s="56">
        <v>12</v>
      </c>
      <c r="D31" s="59">
        <v>1.9000000000000001E-7</v>
      </c>
      <c r="E31" s="56">
        <v>5.0000000000000001E-3</v>
      </c>
      <c r="F31" s="56">
        <v>0.03</v>
      </c>
      <c r="G31" s="56">
        <v>4.0000000000000001E-3</v>
      </c>
      <c r="H31" s="56">
        <v>123</v>
      </c>
      <c r="I31" s="56">
        <v>137</v>
      </c>
    </row>
    <row r="32" spans="1:12" ht="16" x14ac:dyDescent="0.2">
      <c r="A32" s="253" t="s">
        <v>170</v>
      </c>
      <c r="B32" s="254" t="s">
        <v>81</v>
      </c>
      <c r="C32" s="56">
        <v>12</v>
      </c>
      <c r="D32" s="59">
        <v>1.9000000000000001E-7</v>
      </c>
      <c r="E32" s="56">
        <v>5.0000000000000001E-3</v>
      </c>
      <c r="F32" s="56">
        <v>0.03</v>
      </c>
      <c r="G32" s="56">
        <v>4.0000000000000001E-3</v>
      </c>
      <c r="H32" s="56">
        <v>123</v>
      </c>
      <c r="I32" s="56">
        <v>137</v>
      </c>
    </row>
    <row r="33" spans="1:9" ht="16" x14ac:dyDescent="0.2">
      <c r="A33" s="253" t="s">
        <v>170</v>
      </c>
      <c r="B33" s="254" t="s">
        <v>101</v>
      </c>
      <c r="C33" s="56">
        <v>9.4</v>
      </c>
      <c r="D33" s="59">
        <v>5.3000000000000001E-7</v>
      </c>
      <c r="E33" s="56">
        <v>4.1999999999999997E-3</v>
      </c>
      <c r="F33" s="56">
        <v>3.6999999999999998E-2</v>
      </c>
      <c r="G33" s="56">
        <v>4.7000000000000002E-3</v>
      </c>
      <c r="H33" s="56">
        <v>123</v>
      </c>
      <c r="I33" s="56">
        <v>151</v>
      </c>
    </row>
    <row r="34" spans="1:9" ht="16" x14ac:dyDescent="0.2">
      <c r="A34" s="253" t="s">
        <v>170</v>
      </c>
      <c r="B34" s="254" t="s">
        <v>171</v>
      </c>
      <c r="C34" s="56">
        <v>7.32</v>
      </c>
      <c r="D34" s="59">
        <v>3.8899999999999998E-8</v>
      </c>
      <c r="E34" s="56">
        <v>3.0999999999999999E-3</v>
      </c>
      <c r="F34" s="56">
        <v>2.76E-2</v>
      </c>
      <c r="G34" s="56">
        <v>3.3600000000000001E-3</v>
      </c>
      <c r="H34" s="56">
        <v>82.71</v>
      </c>
      <c r="I34" s="56">
        <v>98.92</v>
      </c>
    </row>
    <row r="35" spans="1:9" ht="16" x14ac:dyDescent="0.2">
      <c r="A35" s="266" t="s">
        <v>203</v>
      </c>
      <c r="B35" s="254" t="s">
        <v>204</v>
      </c>
      <c r="C35" s="56">
        <v>9.4</v>
      </c>
      <c r="D35" s="59">
        <v>5.3000000000000001E-7</v>
      </c>
      <c r="E35" s="56">
        <v>4.1999999999999997E-3</v>
      </c>
      <c r="F35" s="56">
        <v>3.6999999999999998E-2</v>
      </c>
      <c r="G35" s="56">
        <v>4.7000000000000002E-3</v>
      </c>
      <c r="H35" s="56">
        <v>123</v>
      </c>
      <c r="I35" s="56">
        <v>151</v>
      </c>
    </row>
    <row r="36" spans="1:9" ht="16" x14ac:dyDescent="0.2">
      <c r="A36" s="266" t="s">
        <v>203</v>
      </c>
      <c r="B36" s="254" t="s">
        <v>205</v>
      </c>
      <c r="C36" s="56">
        <v>12</v>
      </c>
      <c r="D36" s="59">
        <v>1.9000000000000001E-7</v>
      </c>
      <c r="E36" s="56">
        <v>5.0000000000000001E-3</v>
      </c>
      <c r="F36" s="56">
        <v>0.03</v>
      </c>
      <c r="G36" s="56">
        <v>4.0000000000000001E-3</v>
      </c>
      <c r="H36" s="56">
        <v>123</v>
      </c>
      <c r="I36" s="56">
        <v>137</v>
      </c>
    </row>
    <row r="37" spans="1:9" ht="16" x14ac:dyDescent="0.2">
      <c r="A37" s="253" t="s">
        <v>170</v>
      </c>
      <c r="B37" s="254" t="s">
        <v>193</v>
      </c>
      <c r="C37" s="56">
        <f>IF('DGNB LCA Results'!$P$4=4,VLOOKUP('DGNB LCA Results'!$M$3,Construction!$B$2:$I$104,2,FALSE)*'DGNB LCA Results'!$N$3+VLOOKUP('DGNB LCA Results'!$K$3,Construction!$B$2:$I$104,2,FALSE)*'DGNB LCA Results'!$L$3+VLOOKUP('DGNB LCA Results'!$I$3,Construction!$B$2:$I$104,2,FALSE)*'DGNB LCA Results'!$J$3+VLOOKUP('DGNB LCA Results'!$G$3,Construction!$B$2:$I$104,2,FALSE)*'DGNB LCA Results'!$H$3,IF('DGNB LCA Results'!$P$4=3,VLOOKUP('DGNB LCA Results'!$M$3,Construction!$B$2:$I$104,2,FALSE)*'DGNB LCA Results'!$N$3+VLOOKUP('DGNB LCA Results'!$K$3,Construction!$B$2:$I$104,2,FALSE)*'DGNB LCA Results'!$L$3+VLOOKUP('DGNB LCA Results'!$I$3,Construction!$B$2:$I$104,2,FALSE)*'DGNB LCA Results'!$J$3,IF('DGNB LCA Results'!$P$4=2,VLOOKUP('DGNB LCA Results'!$M$3,Construction!$B$2:$I$104,2,FALSE)*'DGNB LCA Results'!$N$3+VLOOKUP('DGNB LCA Results'!$K$3,Construction!$B$2:$I$104,2,FALSE)*'DGNB LCA Results'!$L$3,IF('DGNB LCA Results'!$P$4=1,VLOOKUP('DGNB LCA Results'!$M$3,Construction!$B$2:$I$104,2,FALSE)*'DGNB LCA Results'!$N$3,0))))</f>
        <v>0</v>
      </c>
      <c r="D37" s="59">
        <f>IF('DGNB LCA Results'!$P$4=4,VLOOKUP('DGNB LCA Results'!$M$3,Construction!$B$2:$I$104,3,FALSE)*'DGNB LCA Results'!$N$3+VLOOKUP('DGNB LCA Results'!$K$3,Construction!$B$2:$I$104,3,FALSE)*'DGNB LCA Results'!$L$3+VLOOKUP('DGNB LCA Results'!$I$3,Construction!$B$2:$I$104,3,FALSE)*'DGNB LCA Results'!$J$3+VLOOKUP('DGNB LCA Results'!$G$3,Construction!$B$2:$I$104,3,FALSE)*'DGNB LCA Results'!$H$3,IF('DGNB LCA Results'!$P$4=3,VLOOKUP('DGNB LCA Results'!$M$3,Construction!$B$2:$I$104,3,FALSE)*'DGNB LCA Results'!$N$3+VLOOKUP('DGNB LCA Results'!$K$3,Construction!$B$2:$I$104,3,FALSE)*'DGNB LCA Results'!$L$3+VLOOKUP('DGNB LCA Results'!$I$3,Construction!$B$2:$I$104,3,FALSE)*'DGNB LCA Results'!$J$3,IF('DGNB LCA Results'!$P$4=2,VLOOKUP('DGNB LCA Results'!$M$3,Construction!$B$2:$I$104,3,FALSE)*'DGNB LCA Results'!$N$3+VLOOKUP('DGNB LCA Results'!$K$3,Construction!$B$2:$I$104,3,FALSE)*'DGNB LCA Results'!$L$3,IF('DGNB LCA Results'!$P$4=1,VLOOKUP('DGNB LCA Results'!$M$3,Construction!$B$2:$I$104,3,FALSE)*'DGNB LCA Results'!$N$3,0))))</f>
        <v>0</v>
      </c>
      <c r="E37" s="56">
        <f>IF('DGNB LCA Results'!$P$4=4,VLOOKUP('DGNB LCA Results'!$M$3,Construction!$B$2:$I$104,4,FALSE)*'DGNB LCA Results'!$N$3+VLOOKUP('DGNB LCA Results'!$K$3,Construction!$B$2:$I$104,4,FALSE)*'DGNB LCA Results'!$L$3+VLOOKUP('DGNB LCA Results'!$I$3,Construction!$B$2:$I$104,4,FALSE)*'DGNB LCA Results'!$J$3+VLOOKUP('DGNB LCA Results'!$G$3,Construction!$B$2:$I$104,4,FALSE)*'DGNB LCA Results'!$H$3,IF('DGNB LCA Results'!$P$4=3,VLOOKUP('DGNB LCA Results'!$M$3,Construction!$B$2:$I$104,4,FALSE)*'DGNB LCA Results'!$N$3+VLOOKUP('DGNB LCA Results'!$K$3,Construction!$B$2:$I$104,4,FALSE)*'DGNB LCA Results'!$L$3+VLOOKUP('DGNB LCA Results'!$I$3,Construction!$B$2:$I$104,4,FALSE)*'DGNB LCA Results'!$J$3,IF('DGNB LCA Results'!$P$4=2,VLOOKUP('DGNB LCA Results'!$M$3,Construction!$B$2:$I$104,4,FALSE)*'DGNB LCA Results'!$N$3+VLOOKUP('DGNB LCA Results'!$K$3,Construction!$B$2:$I$104,4,FALSE)*'DGNB LCA Results'!$L$3,IF('DGNB LCA Results'!$P$4=1,VLOOKUP('DGNB LCA Results'!$M$3,Construction!$B$2:$I$104,4,FALSE)*'DGNB LCA Results'!$N$3,0))))</f>
        <v>0</v>
      </c>
      <c r="F37" s="56">
        <f>IF('DGNB LCA Results'!$P$4=4,VLOOKUP('DGNB LCA Results'!$M$3,Construction!$B$2:$I$104,5,FALSE)*'DGNB LCA Results'!$N$3+VLOOKUP('DGNB LCA Results'!$K$3,Construction!$B$2:$I$104,5,FALSE)*'DGNB LCA Results'!$L$3+VLOOKUP('DGNB LCA Results'!$I$3,Construction!$B$2:$I$104,5,FALSE)*'DGNB LCA Results'!$J$3+VLOOKUP('DGNB LCA Results'!$G$3,Construction!$B$2:$I$104,5,FALSE)*'DGNB LCA Results'!$H$3,IF('DGNB LCA Results'!$P$4=3,VLOOKUP('DGNB LCA Results'!$M$3,Construction!$B$2:$I$104,5,FALSE)*'DGNB LCA Results'!$N$3+VLOOKUP('DGNB LCA Results'!$K$3,Construction!$B$2:$I$104,5,FALSE)*'DGNB LCA Results'!$L$3+VLOOKUP('DGNB LCA Results'!$I$3,Construction!$B$2:$I$104,5,FALSE)*'DGNB LCA Results'!$J$3,IF('DGNB LCA Results'!$P$4=2,VLOOKUP('DGNB LCA Results'!$M$3,Construction!$B$2:$I$104,5,FALSE)*'DGNB LCA Results'!$N$3+VLOOKUP('DGNB LCA Results'!$K$3,Construction!$B$2:$I$104,5,FALSE)*'DGNB LCA Results'!$L$3,IF('DGNB LCA Results'!$P$4=1,VLOOKUP('DGNB LCA Results'!$M$3,Construction!$B$2:$I$104,5,FALSE)*'DGNB LCA Results'!$N$3,0))))</f>
        <v>0</v>
      </c>
      <c r="G37" s="56">
        <f>IF('DGNB LCA Results'!$P$4=4,VLOOKUP('DGNB LCA Results'!$M$3,Construction!$B$2:$I$104,6,FALSE)*'DGNB LCA Results'!$N$3+VLOOKUP('DGNB LCA Results'!$K$3,Construction!$B$2:$I$104,6,FALSE)*'DGNB LCA Results'!$L$3+VLOOKUP('DGNB LCA Results'!$I$3,Construction!$B$2:$I$104,6,FALSE)*'DGNB LCA Results'!$J$3+VLOOKUP('DGNB LCA Results'!$G$3,Construction!$B$2:$I$104,6,FALSE)*'DGNB LCA Results'!$H$3,IF('DGNB LCA Results'!$P$4=3,VLOOKUP('DGNB LCA Results'!$M$3,Construction!$B$2:$I$104,6,FALSE)*'DGNB LCA Results'!$N$3+VLOOKUP('DGNB LCA Results'!$K$3,Construction!$B$2:$I$104,6,FALSE)*'DGNB LCA Results'!$L$3+VLOOKUP('DGNB LCA Results'!$I$3,Construction!$B$2:$I$104,6,FALSE)*'DGNB LCA Results'!$J$3,IF('DGNB LCA Results'!$P$4=2,VLOOKUP('DGNB LCA Results'!$M$3,Construction!$B$2:$I$104,6,FALSE)*'DGNB LCA Results'!$N$3+VLOOKUP('DGNB LCA Results'!$K$3,Construction!$B$2:$I$104,6,FALSE)*'DGNB LCA Results'!$L$3,IF('DGNB LCA Results'!$P$4=1,VLOOKUP('DGNB LCA Results'!$M$3,Construction!$B$2:$I$104,6,FALSE)*'DGNB LCA Results'!$N$3,0))))</f>
        <v>0</v>
      </c>
      <c r="H37" s="56">
        <f>IF('DGNB LCA Results'!$P$4=4,VLOOKUP('DGNB LCA Results'!$M$3,Construction!$B$2:$I$104,7,FALSE)*'DGNB LCA Results'!$N$3+VLOOKUP('DGNB LCA Results'!$K$3,Construction!$B$2:$I$104,7,FALSE)*'DGNB LCA Results'!$L$3+VLOOKUP('DGNB LCA Results'!$I$3,Construction!$B$2:$I$104,7,FALSE)*'DGNB LCA Results'!$J$3+VLOOKUP('DGNB LCA Results'!$G$3,Construction!$B$2:$I$104,7,FALSE)*'DGNB LCA Results'!$H$3,IF('DGNB LCA Results'!$P$4=3,VLOOKUP('DGNB LCA Results'!$M$3,Construction!$B$2:$I$104,7,FALSE)*'DGNB LCA Results'!$N$3+VLOOKUP('DGNB LCA Results'!$K$3,Construction!$B$2:$I$104,7,FALSE)*'DGNB LCA Results'!$L$3+VLOOKUP('DGNB LCA Results'!$I$3,Construction!$B$2:$I$104,7,FALSE)*'DGNB LCA Results'!$J$3,IF('DGNB LCA Results'!$P$4=2,VLOOKUP('DGNB LCA Results'!$M$3,Construction!$B$2:$I$104,7,FALSE)*'DGNB LCA Results'!$N$3+VLOOKUP('DGNB LCA Results'!$K$3,Construction!$B$2:$I$104,7,FALSE)*'DGNB LCA Results'!$L$3,IF('DGNB LCA Results'!$P$4=1,VLOOKUP('DGNB LCA Results'!$M$3,Construction!$B$2:$I$104,7,FALSE)*'DGNB LCA Results'!$N$3,0))))</f>
        <v>0</v>
      </c>
      <c r="I37" s="56">
        <f>IF('DGNB LCA Results'!$P$4=4,VLOOKUP('DGNB LCA Results'!$M$3,Construction!$B$2:$I$104,8,FALSE)*'DGNB LCA Results'!$N$3+VLOOKUP('DGNB LCA Results'!$K$3,Construction!$B$2:$I$104,8,FALSE)*'DGNB LCA Results'!$L$3+VLOOKUP('DGNB LCA Results'!$I$3,Construction!$B$2:$I$104,8,FALSE)*'DGNB LCA Results'!$J$3+VLOOKUP('DGNB LCA Results'!$G$3,Construction!$B$2:$I$104,8,FALSE)*'DGNB LCA Results'!$H$3,IF('DGNB LCA Results'!$P$4=3,VLOOKUP('DGNB LCA Results'!$M$3,Construction!$B$2:$I$104,8,FALSE)*'DGNB LCA Results'!$N$3+VLOOKUP('DGNB LCA Results'!$K$3,Construction!$B$2:$I$104,8,FALSE)*'DGNB LCA Results'!$L$3+VLOOKUP('DGNB LCA Results'!$I$3,Construction!$B$2:$I$104,8,FALSE)*'DGNB LCA Results'!$J$3,IF('DGNB LCA Results'!$P$4=2,VLOOKUP('DGNB LCA Results'!$M$3,Construction!$B$2:$I$104,8,FALSE)*'DGNB LCA Results'!$N$3+VLOOKUP('DGNB LCA Results'!$K$3,Construction!$B$2:$I$104,8,FALSE)*'DGNB LCA Results'!$L$3,IF('DGNB LCA Results'!$P$4=1,VLOOKUP('DGNB LCA Results'!$M$3,Construction!$B$2:$I$104,8,FALSE)*'DGNB LCA Results'!$N$3,0))))</f>
        <v>0</v>
      </c>
    </row>
    <row r="38" spans="1:9" ht="16" x14ac:dyDescent="0.2">
      <c r="A38" s="253" t="s">
        <v>170</v>
      </c>
      <c r="B38" s="254" t="s">
        <v>194</v>
      </c>
      <c r="C38" s="56">
        <f>IF('DGNB LCA Results'!$P$4=4,VLOOKUP('DGNB LCA Results'!$M$3,Construction!$B$2:$I$104,2,FALSE)*'DGNB LCA Results'!$N$3+VLOOKUP('DGNB LCA Results'!$K$3,Construction!$B$2:$I$104,2,FALSE)*'DGNB LCA Results'!$L$3+VLOOKUP('DGNB LCA Results'!$I$3,Construction!$B$2:$I$104,2,FALSE)*'DGNB LCA Results'!$J$3+VLOOKUP('DGNB LCA Results'!$G$3,Construction!$B$2:$I$104,2,FALSE)*'DGNB LCA Results'!$H$3,IF('DGNB LCA Results'!$P$4=3,VLOOKUP('DGNB LCA Results'!$M$3,Construction!$B$2:$I$104,2,FALSE)*'DGNB LCA Results'!$N$3+VLOOKUP('DGNB LCA Results'!$K$3,Construction!$B$2:$I$104,2,FALSE)*'DGNB LCA Results'!$L$3+VLOOKUP('DGNB LCA Results'!$I$3,Construction!$B$2:$I$104,2,FALSE)*'DGNB LCA Results'!$J$3,IF('DGNB LCA Results'!$P$4=2,VLOOKUP('DGNB LCA Results'!$M$3,Construction!$B$2:$I$104,2,FALSE)*'DGNB LCA Results'!$N$3+VLOOKUP('DGNB LCA Results'!$K$3,Construction!$B$2:$I$104,2,FALSE)*'DGNB LCA Results'!$L$3,IF('DGNB LCA Results'!$P$4=1,VLOOKUP('DGNB LCA Results'!$M$3,Construction!$B$2:$I$104,2,FALSE)*'DGNB LCA Results'!$N$3,0))))</f>
        <v>0</v>
      </c>
      <c r="D38" s="59">
        <f>IF('DGNB LCA Results'!$P$4=4,VLOOKUP('DGNB LCA Results'!$M$3,Construction!$B$2:$I$104,3,FALSE)*'DGNB LCA Results'!$N$3+VLOOKUP('DGNB LCA Results'!$K$3,Construction!$B$2:$I$104,3,FALSE)*'DGNB LCA Results'!$L$3+VLOOKUP('DGNB LCA Results'!$I$3,Construction!$B$2:$I$104,3,FALSE)*'DGNB LCA Results'!$J$3+VLOOKUP('DGNB LCA Results'!$G$3,Construction!$B$2:$I$104,3,FALSE)*'DGNB LCA Results'!$H$3,IF('DGNB LCA Results'!$P$4=3,VLOOKUP('DGNB LCA Results'!$M$3,Construction!$B$2:$I$104,3,FALSE)*'DGNB LCA Results'!$N$3+VLOOKUP('DGNB LCA Results'!$K$3,Construction!$B$2:$I$104,3,FALSE)*'DGNB LCA Results'!$L$3+VLOOKUP('DGNB LCA Results'!$I$3,Construction!$B$2:$I$104,3,FALSE)*'DGNB LCA Results'!$J$3,IF('DGNB LCA Results'!$P$4=2,VLOOKUP('DGNB LCA Results'!$M$3,Construction!$B$2:$I$104,3,FALSE)*'DGNB LCA Results'!$N$3+VLOOKUP('DGNB LCA Results'!$K$3,Construction!$B$2:$I$104,3,FALSE)*'DGNB LCA Results'!$L$3,IF('DGNB LCA Results'!$P$4=1,VLOOKUP('DGNB LCA Results'!$M$3,Construction!$B$2:$I$104,3,FALSE)*'DGNB LCA Results'!$N$3,0))))</f>
        <v>0</v>
      </c>
      <c r="E38" s="56">
        <f>IF('DGNB LCA Results'!$P$4=4,VLOOKUP('DGNB LCA Results'!$M$3,Construction!$B$2:$I$104,4,FALSE)*'DGNB LCA Results'!$N$3+VLOOKUP('DGNB LCA Results'!$K$3,Construction!$B$2:$I$104,4,FALSE)*'DGNB LCA Results'!$L$3+VLOOKUP('DGNB LCA Results'!$I$3,Construction!$B$2:$I$104,4,FALSE)*'DGNB LCA Results'!$J$3+VLOOKUP('DGNB LCA Results'!$G$3,Construction!$B$2:$I$104,4,FALSE)*'DGNB LCA Results'!$H$3,IF('DGNB LCA Results'!$P$4=3,VLOOKUP('DGNB LCA Results'!$M$3,Construction!$B$2:$I$104,4,FALSE)*'DGNB LCA Results'!$N$3+VLOOKUP('DGNB LCA Results'!$K$3,Construction!$B$2:$I$104,4,FALSE)*'DGNB LCA Results'!$L$3+VLOOKUP('DGNB LCA Results'!$I$3,Construction!$B$2:$I$104,4,FALSE)*'DGNB LCA Results'!$J$3,IF('DGNB LCA Results'!$P$4=2,VLOOKUP('DGNB LCA Results'!$M$3,Construction!$B$2:$I$104,4,FALSE)*'DGNB LCA Results'!$N$3+VLOOKUP('DGNB LCA Results'!$K$3,Construction!$B$2:$I$104,4,FALSE)*'DGNB LCA Results'!$L$3,IF('DGNB LCA Results'!$P$4=1,VLOOKUP('DGNB LCA Results'!$M$3,Construction!$B$2:$I$104,4,FALSE)*'DGNB LCA Results'!$N$3,0))))</f>
        <v>0</v>
      </c>
      <c r="F38" s="56">
        <f>IF('DGNB LCA Results'!$P$4=4,VLOOKUP('DGNB LCA Results'!$M$3,Construction!$B$2:$I$104,5,FALSE)*'DGNB LCA Results'!$N$3+VLOOKUP('DGNB LCA Results'!$K$3,Construction!$B$2:$I$104,5,FALSE)*'DGNB LCA Results'!$L$3+VLOOKUP('DGNB LCA Results'!$I$3,Construction!$B$2:$I$104,5,FALSE)*'DGNB LCA Results'!$J$3+VLOOKUP('DGNB LCA Results'!$G$3,Construction!$B$2:$I$104,5,FALSE)*'DGNB LCA Results'!$H$3,IF('DGNB LCA Results'!$P$4=3,VLOOKUP('DGNB LCA Results'!$M$3,Construction!$B$2:$I$104,5,FALSE)*'DGNB LCA Results'!$N$3+VLOOKUP('DGNB LCA Results'!$K$3,Construction!$B$2:$I$104,5,FALSE)*'DGNB LCA Results'!$L$3+VLOOKUP('DGNB LCA Results'!$I$3,Construction!$B$2:$I$104,5,FALSE)*'DGNB LCA Results'!$J$3,IF('DGNB LCA Results'!$P$4=2,VLOOKUP('DGNB LCA Results'!$M$3,Construction!$B$2:$I$104,5,FALSE)*'DGNB LCA Results'!$N$3+VLOOKUP('DGNB LCA Results'!$K$3,Construction!$B$2:$I$104,5,FALSE)*'DGNB LCA Results'!$L$3,IF('DGNB LCA Results'!$P$4=1,VLOOKUP('DGNB LCA Results'!$M$3,Construction!$B$2:$I$104,5,FALSE)*'DGNB LCA Results'!$N$3,0))))</f>
        <v>0</v>
      </c>
      <c r="G38" s="56">
        <f>IF('DGNB LCA Results'!$P$4=4,VLOOKUP('DGNB LCA Results'!$M$3,Construction!$B$2:$I$104,6,FALSE)*'DGNB LCA Results'!$N$3+VLOOKUP('DGNB LCA Results'!$K$3,Construction!$B$2:$I$104,6,FALSE)*'DGNB LCA Results'!$L$3+VLOOKUP('DGNB LCA Results'!$I$3,Construction!$B$2:$I$104,6,FALSE)*'DGNB LCA Results'!$J$3+VLOOKUP('DGNB LCA Results'!$G$3,Construction!$B$2:$I$104,6,FALSE)*'DGNB LCA Results'!$H$3,IF('DGNB LCA Results'!$P$4=3,VLOOKUP('DGNB LCA Results'!$M$3,Construction!$B$2:$I$104,6,FALSE)*'DGNB LCA Results'!$N$3+VLOOKUP('DGNB LCA Results'!$K$3,Construction!$B$2:$I$104,6,FALSE)*'DGNB LCA Results'!$L$3+VLOOKUP('DGNB LCA Results'!$I$3,Construction!$B$2:$I$104,6,FALSE)*'DGNB LCA Results'!$J$3,IF('DGNB LCA Results'!$P$4=2,VLOOKUP('DGNB LCA Results'!$M$3,Construction!$B$2:$I$104,6,FALSE)*'DGNB LCA Results'!$N$3+VLOOKUP('DGNB LCA Results'!$K$3,Construction!$B$2:$I$104,6,FALSE)*'DGNB LCA Results'!$L$3,IF('DGNB LCA Results'!$P$4=1,VLOOKUP('DGNB LCA Results'!$M$3,Construction!$B$2:$I$104,6,FALSE)*'DGNB LCA Results'!$N$3,0))))</f>
        <v>0</v>
      </c>
      <c r="H38" s="56">
        <f>IF('DGNB LCA Results'!$P$4=4,VLOOKUP('DGNB LCA Results'!$M$3,Construction!$B$2:$I$104,7,FALSE)*'DGNB LCA Results'!$N$3+VLOOKUP('DGNB LCA Results'!$K$3,Construction!$B$2:$I$104,7,FALSE)*'DGNB LCA Results'!$L$3+VLOOKUP('DGNB LCA Results'!$I$3,Construction!$B$2:$I$104,7,FALSE)*'DGNB LCA Results'!$J$3+VLOOKUP('DGNB LCA Results'!$G$3,Construction!$B$2:$I$104,7,FALSE)*'DGNB LCA Results'!$H$3,IF('DGNB LCA Results'!$P$4=3,VLOOKUP('DGNB LCA Results'!$M$3,Construction!$B$2:$I$104,7,FALSE)*'DGNB LCA Results'!$N$3+VLOOKUP('DGNB LCA Results'!$K$3,Construction!$B$2:$I$104,7,FALSE)*'DGNB LCA Results'!$L$3+VLOOKUP('DGNB LCA Results'!$I$3,Construction!$B$2:$I$104,7,FALSE)*'DGNB LCA Results'!$J$3,IF('DGNB LCA Results'!$P$4=2,VLOOKUP('DGNB LCA Results'!$M$3,Construction!$B$2:$I$104,7,FALSE)*'DGNB LCA Results'!$N$3+VLOOKUP('DGNB LCA Results'!$K$3,Construction!$B$2:$I$104,7,FALSE)*'DGNB LCA Results'!$L$3,IF('DGNB LCA Results'!$P$4=1,VLOOKUP('DGNB LCA Results'!$M$3,Construction!$B$2:$I$104,7,FALSE)*'DGNB LCA Results'!$N$3,0))))</f>
        <v>0</v>
      </c>
      <c r="I38" s="56">
        <f>IF('DGNB LCA Results'!$P$4=4,VLOOKUP('DGNB LCA Results'!$M$3,Construction!$B$2:$I$104,8,FALSE)*'DGNB LCA Results'!$N$3+VLOOKUP('DGNB LCA Results'!$K$3,Construction!$B$2:$I$104,8,FALSE)*'DGNB LCA Results'!$L$3+VLOOKUP('DGNB LCA Results'!$I$3,Construction!$B$2:$I$104,8,FALSE)*'DGNB LCA Results'!$J$3+VLOOKUP('DGNB LCA Results'!$G$3,Construction!$B$2:$I$104,8,FALSE)*'DGNB LCA Results'!$H$3,IF('DGNB LCA Results'!$P$4=3,VLOOKUP('DGNB LCA Results'!$M$3,Construction!$B$2:$I$104,8,FALSE)*'DGNB LCA Results'!$N$3+VLOOKUP('DGNB LCA Results'!$K$3,Construction!$B$2:$I$104,8,FALSE)*'DGNB LCA Results'!$L$3+VLOOKUP('DGNB LCA Results'!$I$3,Construction!$B$2:$I$104,8,FALSE)*'DGNB LCA Results'!$J$3,IF('DGNB LCA Results'!$P$4=2,VLOOKUP('DGNB LCA Results'!$M$3,Construction!$B$2:$I$104,8,FALSE)*'DGNB LCA Results'!$N$3+VLOOKUP('DGNB LCA Results'!$K$3,Construction!$B$2:$I$104,8,FALSE)*'DGNB LCA Results'!$L$3,IF('DGNB LCA Results'!$P$4=1,VLOOKUP('DGNB LCA Results'!$M$3,Construction!$B$2:$I$104,8,FALSE)*'DGNB LCA Results'!$N$3,0))))</f>
        <v>0</v>
      </c>
    </row>
    <row r="39" spans="1:9" ht="16" x14ac:dyDescent="0.2">
      <c r="A39" s="253" t="s">
        <v>170</v>
      </c>
      <c r="B39" s="254" t="s">
        <v>192</v>
      </c>
      <c r="C39" s="56">
        <f>IF('DGNB LCA Results'!$P$4=4,VLOOKUP('DGNB LCA Results'!$M$3,Construction!$B$2:$I$104,2,FALSE)*'DGNB LCA Results'!$N$3+VLOOKUP('DGNB LCA Results'!$K$3,Construction!$B$2:$I$104,2,FALSE)*'DGNB LCA Results'!$L$3+VLOOKUP('DGNB LCA Results'!$I$3,Construction!$B$2:$I$104,2,FALSE)*'DGNB LCA Results'!$J$3+VLOOKUP('DGNB LCA Results'!$G$3,Construction!$B$2:$I$104,2,FALSE)*'DGNB LCA Results'!$H$3,IF('DGNB LCA Results'!$P$4=3,VLOOKUP('DGNB LCA Results'!$M$3,Construction!$B$2:$I$104,2,FALSE)*'DGNB LCA Results'!$N$3+VLOOKUP('DGNB LCA Results'!$K$3,Construction!$B$2:$I$104,2,FALSE)*'DGNB LCA Results'!$L$3+VLOOKUP('DGNB LCA Results'!$I$3,Construction!$B$2:$I$104,2,FALSE)*'DGNB LCA Results'!$J$3,IF('DGNB LCA Results'!$P$4=2,VLOOKUP('DGNB LCA Results'!$M$3,Construction!$B$2:$I$104,2,FALSE)*'DGNB LCA Results'!$N$3+VLOOKUP('DGNB LCA Results'!$K$3,Construction!$B$2:$I$104,2,FALSE)*'DGNB LCA Results'!$L$3,IF('DGNB LCA Results'!$P$4=1,VLOOKUP('DGNB LCA Results'!$M$3,Construction!$B$2:$I$104,2,FALSE)*'DGNB LCA Results'!$N$3,0))))</f>
        <v>0</v>
      </c>
      <c r="D39" s="59">
        <f>IF('DGNB LCA Results'!$P$4=4,VLOOKUP('DGNB LCA Results'!$M$3,Construction!$B$2:$I$104,3,FALSE)*'DGNB LCA Results'!$N$3+VLOOKUP('DGNB LCA Results'!$K$3,Construction!$B$2:$I$104,3,FALSE)*'DGNB LCA Results'!$L$3+VLOOKUP('DGNB LCA Results'!$I$3,Construction!$B$2:$I$104,3,FALSE)*'DGNB LCA Results'!$J$3+VLOOKUP('DGNB LCA Results'!$G$3,Construction!$B$2:$I$104,3,FALSE)*'DGNB LCA Results'!$H$3,IF('DGNB LCA Results'!$P$4=3,VLOOKUP('DGNB LCA Results'!$M$3,Construction!$B$2:$I$104,3,FALSE)*'DGNB LCA Results'!$N$3+VLOOKUP('DGNB LCA Results'!$K$3,Construction!$B$2:$I$104,3,FALSE)*'DGNB LCA Results'!$L$3+VLOOKUP('DGNB LCA Results'!$I$3,Construction!$B$2:$I$104,3,FALSE)*'DGNB LCA Results'!$J$3,IF('DGNB LCA Results'!$P$4=2,VLOOKUP('DGNB LCA Results'!$M$3,Construction!$B$2:$I$104,3,FALSE)*'DGNB LCA Results'!$N$3+VLOOKUP('DGNB LCA Results'!$K$3,Construction!$B$2:$I$104,3,FALSE)*'DGNB LCA Results'!$L$3,IF('DGNB LCA Results'!$P$4=1,VLOOKUP('DGNB LCA Results'!$M$3,Construction!$B$2:$I$104,3,FALSE)*'DGNB LCA Results'!$N$3,0))))</f>
        <v>0</v>
      </c>
      <c r="E39" s="56">
        <f>IF('DGNB LCA Results'!$P$4=4,VLOOKUP('DGNB LCA Results'!$M$3,Construction!$B$2:$I$104,4,FALSE)*'DGNB LCA Results'!$N$3+VLOOKUP('DGNB LCA Results'!$K$3,Construction!$B$2:$I$104,4,FALSE)*'DGNB LCA Results'!$L$3+VLOOKUP('DGNB LCA Results'!$I$3,Construction!$B$2:$I$104,4,FALSE)*'DGNB LCA Results'!$J$3+VLOOKUP('DGNB LCA Results'!$G$3,Construction!$B$2:$I$104,4,FALSE)*'DGNB LCA Results'!$H$3,IF('DGNB LCA Results'!$P$4=3,VLOOKUP('DGNB LCA Results'!$M$3,Construction!$B$2:$I$104,4,FALSE)*'DGNB LCA Results'!$N$3+VLOOKUP('DGNB LCA Results'!$K$3,Construction!$B$2:$I$104,4,FALSE)*'DGNB LCA Results'!$L$3+VLOOKUP('DGNB LCA Results'!$I$3,Construction!$B$2:$I$104,4,FALSE)*'DGNB LCA Results'!$J$3,IF('DGNB LCA Results'!$P$4=2,VLOOKUP('DGNB LCA Results'!$M$3,Construction!$B$2:$I$104,4,FALSE)*'DGNB LCA Results'!$N$3+VLOOKUP('DGNB LCA Results'!$K$3,Construction!$B$2:$I$104,4,FALSE)*'DGNB LCA Results'!$L$3,IF('DGNB LCA Results'!$P$4=1,VLOOKUP('DGNB LCA Results'!$M$3,Construction!$B$2:$I$104,4,FALSE)*'DGNB LCA Results'!$N$3,0))))</f>
        <v>0</v>
      </c>
      <c r="F39" s="56">
        <f>IF('DGNB LCA Results'!$P$4=4,VLOOKUP('DGNB LCA Results'!$M$3,Construction!$B$2:$I$104,5,FALSE)*'DGNB LCA Results'!$N$3+VLOOKUP('DGNB LCA Results'!$K$3,Construction!$B$2:$I$104,5,FALSE)*'DGNB LCA Results'!$L$3+VLOOKUP('DGNB LCA Results'!$I$3,Construction!$B$2:$I$104,5,FALSE)*'DGNB LCA Results'!$J$3+VLOOKUP('DGNB LCA Results'!$G$3,Construction!$B$2:$I$104,5,FALSE)*'DGNB LCA Results'!$H$3,IF('DGNB LCA Results'!$P$4=3,VLOOKUP('DGNB LCA Results'!$M$3,Construction!$B$2:$I$104,5,FALSE)*'DGNB LCA Results'!$N$3+VLOOKUP('DGNB LCA Results'!$K$3,Construction!$B$2:$I$104,5,FALSE)*'DGNB LCA Results'!$L$3+VLOOKUP('DGNB LCA Results'!$I$3,Construction!$B$2:$I$104,5,FALSE)*'DGNB LCA Results'!$J$3,IF('DGNB LCA Results'!$P$4=2,VLOOKUP('DGNB LCA Results'!$M$3,Construction!$B$2:$I$104,5,FALSE)*'DGNB LCA Results'!$N$3+VLOOKUP('DGNB LCA Results'!$K$3,Construction!$B$2:$I$104,5,FALSE)*'DGNB LCA Results'!$L$3,IF('DGNB LCA Results'!$P$4=1,VLOOKUP('DGNB LCA Results'!$M$3,Construction!$B$2:$I$104,5,FALSE)*'DGNB LCA Results'!$N$3,0))))</f>
        <v>0</v>
      </c>
      <c r="G39" s="56">
        <f>IF('DGNB LCA Results'!$P$4=4,VLOOKUP('DGNB LCA Results'!$M$3,Construction!$B$2:$I$104,6,FALSE)*'DGNB LCA Results'!$N$3+VLOOKUP('DGNB LCA Results'!$K$3,Construction!$B$2:$I$104,6,FALSE)*'DGNB LCA Results'!$L$3+VLOOKUP('DGNB LCA Results'!$I$3,Construction!$B$2:$I$104,6,FALSE)*'DGNB LCA Results'!$J$3+VLOOKUP('DGNB LCA Results'!$G$3,Construction!$B$2:$I$104,6,FALSE)*'DGNB LCA Results'!$H$3,IF('DGNB LCA Results'!$P$4=3,VLOOKUP('DGNB LCA Results'!$M$3,Construction!$B$2:$I$104,6,FALSE)*'DGNB LCA Results'!$N$3+VLOOKUP('DGNB LCA Results'!$K$3,Construction!$B$2:$I$104,6,FALSE)*'DGNB LCA Results'!$L$3+VLOOKUP('DGNB LCA Results'!$I$3,Construction!$B$2:$I$104,6,FALSE)*'DGNB LCA Results'!$J$3,IF('DGNB LCA Results'!$P$4=2,VLOOKUP('DGNB LCA Results'!$M$3,Construction!$B$2:$I$104,6,FALSE)*'DGNB LCA Results'!$N$3+VLOOKUP('DGNB LCA Results'!$K$3,Construction!$B$2:$I$104,6,FALSE)*'DGNB LCA Results'!$L$3,IF('DGNB LCA Results'!$P$4=1,VLOOKUP('DGNB LCA Results'!$M$3,Construction!$B$2:$I$104,6,FALSE)*'DGNB LCA Results'!$N$3,0))))</f>
        <v>0</v>
      </c>
      <c r="H39" s="56">
        <f>IF('DGNB LCA Results'!$P$4=4,VLOOKUP('DGNB LCA Results'!$M$3,Construction!$B$2:$I$104,7,FALSE)*'DGNB LCA Results'!$N$3+VLOOKUP('DGNB LCA Results'!$K$3,Construction!$B$2:$I$104,7,FALSE)*'DGNB LCA Results'!$L$3+VLOOKUP('DGNB LCA Results'!$I$3,Construction!$B$2:$I$104,7,FALSE)*'DGNB LCA Results'!$J$3+VLOOKUP('DGNB LCA Results'!$G$3,Construction!$B$2:$I$104,7,FALSE)*'DGNB LCA Results'!$H$3,IF('DGNB LCA Results'!$P$4=3,VLOOKUP('DGNB LCA Results'!$M$3,Construction!$B$2:$I$104,7,FALSE)*'DGNB LCA Results'!$N$3+VLOOKUP('DGNB LCA Results'!$K$3,Construction!$B$2:$I$104,7,FALSE)*'DGNB LCA Results'!$L$3+VLOOKUP('DGNB LCA Results'!$I$3,Construction!$B$2:$I$104,7,FALSE)*'DGNB LCA Results'!$J$3,IF('DGNB LCA Results'!$P$4=2,VLOOKUP('DGNB LCA Results'!$M$3,Construction!$B$2:$I$104,7,FALSE)*'DGNB LCA Results'!$N$3+VLOOKUP('DGNB LCA Results'!$K$3,Construction!$B$2:$I$104,7,FALSE)*'DGNB LCA Results'!$L$3,IF('DGNB LCA Results'!$P$4=1,VLOOKUP('DGNB LCA Results'!$M$3,Construction!$B$2:$I$104,7,FALSE)*'DGNB LCA Results'!$N$3,0))))</f>
        <v>0</v>
      </c>
      <c r="I39" s="56">
        <f>IF('DGNB LCA Results'!$P$4=4,VLOOKUP('DGNB LCA Results'!$M$3,Construction!$B$2:$I$104,8,FALSE)*'DGNB LCA Results'!$N$3+VLOOKUP('DGNB LCA Results'!$K$3,Construction!$B$2:$I$104,8,FALSE)*'DGNB LCA Results'!$L$3+VLOOKUP('DGNB LCA Results'!$I$3,Construction!$B$2:$I$104,8,FALSE)*'DGNB LCA Results'!$J$3+VLOOKUP('DGNB LCA Results'!$G$3,Construction!$B$2:$I$104,8,FALSE)*'DGNB LCA Results'!$H$3,IF('DGNB LCA Results'!$P$4=3,VLOOKUP('DGNB LCA Results'!$M$3,Construction!$B$2:$I$104,8,FALSE)*'DGNB LCA Results'!$N$3+VLOOKUP('DGNB LCA Results'!$K$3,Construction!$B$2:$I$104,8,FALSE)*'DGNB LCA Results'!$L$3+VLOOKUP('DGNB LCA Results'!$I$3,Construction!$B$2:$I$104,8,FALSE)*'DGNB LCA Results'!$J$3,IF('DGNB LCA Results'!$P$4=2,VLOOKUP('DGNB LCA Results'!$M$3,Construction!$B$2:$I$104,8,FALSE)*'DGNB LCA Results'!$N$3+VLOOKUP('DGNB LCA Results'!$K$3,Construction!$B$2:$I$104,8,FALSE)*'DGNB LCA Results'!$L$3,IF('DGNB LCA Results'!$P$4=1,VLOOKUP('DGNB LCA Results'!$M$3,Construction!$B$2:$I$104,8,FALSE)*'DGNB LCA Results'!$N$3,0))))</f>
        <v>0</v>
      </c>
    </row>
    <row r="40" spans="1:9" ht="16" x14ac:dyDescent="0.2">
      <c r="A40" s="266" t="s">
        <v>170</v>
      </c>
      <c r="B40" s="254" t="s">
        <v>207</v>
      </c>
      <c r="C40" s="56">
        <f>IF('DGNB LCA Results'!$P$4=4,VLOOKUP('DGNB LCA Results'!$M$3,Construction!$B$2:$I$104,2,FALSE)*'DGNB LCA Results'!$N$3+VLOOKUP('DGNB LCA Results'!$K$3,Construction!$B$2:$I$104,2,FALSE)*'DGNB LCA Results'!$L$3+VLOOKUP('DGNB LCA Results'!$I$3,Construction!$B$2:$I$104,2,FALSE)*'DGNB LCA Results'!$J$3+VLOOKUP('DGNB LCA Results'!$G$3,Construction!$B$2:$I$104,2,FALSE)*'DGNB LCA Results'!$H$3,IF('DGNB LCA Results'!$P$4=3,VLOOKUP('DGNB LCA Results'!$M$3,Construction!$B$2:$I$104,2,FALSE)*'DGNB LCA Results'!$N$3+VLOOKUP('DGNB LCA Results'!$K$3,Construction!$B$2:$I$104,2,FALSE)*'DGNB LCA Results'!$L$3+VLOOKUP('DGNB LCA Results'!$I$3,Construction!$B$2:$I$104,2,FALSE)*'DGNB LCA Results'!$J$3,IF('DGNB LCA Results'!$P$4=2,VLOOKUP('DGNB LCA Results'!$M$3,Construction!$B$2:$I$104,2,FALSE)*'DGNB LCA Results'!$N$3+VLOOKUP('DGNB LCA Results'!$K$3,Construction!$B$2:$I$104,2,FALSE)*'DGNB LCA Results'!$L$3,IF('DGNB LCA Results'!$P$4=1,VLOOKUP('DGNB LCA Results'!$M$3,Construction!$B$2:$I$104,2,FALSE)*'DGNB LCA Results'!$N$3,0))))</f>
        <v>0</v>
      </c>
      <c r="D40" s="59">
        <f>IF('DGNB LCA Results'!$P$4=4,VLOOKUP('DGNB LCA Results'!$M$3,Construction!$B$2:$I$104,3,FALSE)*'DGNB LCA Results'!$N$3+VLOOKUP('DGNB LCA Results'!$K$3,Construction!$B$2:$I$104,3,FALSE)*'DGNB LCA Results'!$L$3+VLOOKUP('DGNB LCA Results'!$I$3,Construction!$B$2:$I$104,3,FALSE)*'DGNB LCA Results'!$J$3+VLOOKUP('DGNB LCA Results'!$G$3,Construction!$B$2:$I$104,3,FALSE)*'DGNB LCA Results'!$H$3,IF('DGNB LCA Results'!$P$4=3,VLOOKUP('DGNB LCA Results'!$M$3,Construction!$B$2:$I$104,3,FALSE)*'DGNB LCA Results'!$N$3+VLOOKUP('DGNB LCA Results'!$K$3,Construction!$B$2:$I$104,3,FALSE)*'DGNB LCA Results'!$L$3+VLOOKUP('DGNB LCA Results'!$I$3,Construction!$B$2:$I$104,3,FALSE)*'DGNB LCA Results'!$J$3,IF('DGNB LCA Results'!$P$4=2,VLOOKUP('DGNB LCA Results'!$M$3,Construction!$B$2:$I$104,3,FALSE)*'DGNB LCA Results'!$N$3+VLOOKUP('DGNB LCA Results'!$K$3,Construction!$B$2:$I$104,3,FALSE)*'DGNB LCA Results'!$L$3,IF('DGNB LCA Results'!$P$4=1,VLOOKUP('DGNB LCA Results'!$M$3,Construction!$B$2:$I$104,3,FALSE)*'DGNB LCA Results'!$N$3,0))))</f>
        <v>0</v>
      </c>
      <c r="E40" s="56">
        <f>IF('DGNB LCA Results'!$P$4=4,VLOOKUP('DGNB LCA Results'!$M$3,Construction!$B$2:$I$104,4,FALSE)*'DGNB LCA Results'!$N$3+VLOOKUP('DGNB LCA Results'!$K$3,Construction!$B$2:$I$104,4,FALSE)*'DGNB LCA Results'!$L$3+VLOOKUP('DGNB LCA Results'!$I$3,Construction!$B$2:$I$104,4,FALSE)*'DGNB LCA Results'!$J$3+VLOOKUP('DGNB LCA Results'!$G$3,Construction!$B$2:$I$104,4,FALSE)*'DGNB LCA Results'!$H$3,IF('DGNB LCA Results'!$P$4=3,VLOOKUP('DGNB LCA Results'!$M$3,Construction!$B$2:$I$104,4,FALSE)*'DGNB LCA Results'!$N$3+VLOOKUP('DGNB LCA Results'!$K$3,Construction!$B$2:$I$104,4,FALSE)*'DGNB LCA Results'!$L$3+VLOOKUP('DGNB LCA Results'!$I$3,Construction!$B$2:$I$104,4,FALSE)*'DGNB LCA Results'!$J$3,IF('DGNB LCA Results'!$P$4=2,VLOOKUP('DGNB LCA Results'!$M$3,Construction!$B$2:$I$104,4,FALSE)*'DGNB LCA Results'!$N$3+VLOOKUP('DGNB LCA Results'!$K$3,Construction!$B$2:$I$104,4,FALSE)*'DGNB LCA Results'!$L$3,IF('DGNB LCA Results'!$P$4=1,VLOOKUP('DGNB LCA Results'!$M$3,Construction!$B$2:$I$104,4,FALSE)*'DGNB LCA Results'!$N$3,0))))</f>
        <v>0</v>
      </c>
      <c r="F40" s="56">
        <f>IF('DGNB LCA Results'!$P$4=4,VLOOKUP('DGNB LCA Results'!$M$3,Construction!$B$2:$I$104,5,FALSE)*'DGNB LCA Results'!$N$3+VLOOKUP('DGNB LCA Results'!$K$3,Construction!$B$2:$I$104,5,FALSE)*'DGNB LCA Results'!$L$3+VLOOKUP('DGNB LCA Results'!$I$3,Construction!$B$2:$I$104,5,FALSE)*'DGNB LCA Results'!$J$3+VLOOKUP('DGNB LCA Results'!$G$3,Construction!$B$2:$I$104,5,FALSE)*'DGNB LCA Results'!$H$3,IF('DGNB LCA Results'!$P$4=3,VLOOKUP('DGNB LCA Results'!$M$3,Construction!$B$2:$I$104,5,FALSE)*'DGNB LCA Results'!$N$3+VLOOKUP('DGNB LCA Results'!$K$3,Construction!$B$2:$I$104,5,FALSE)*'DGNB LCA Results'!$L$3+VLOOKUP('DGNB LCA Results'!$I$3,Construction!$B$2:$I$104,5,FALSE)*'DGNB LCA Results'!$J$3,IF('DGNB LCA Results'!$P$4=2,VLOOKUP('DGNB LCA Results'!$M$3,Construction!$B$2:$I$104,5,FALSE)*'DGNB LCA Results'!$N$3+VLOOKUP('DGNB LCA Results'!$K$3,Construction!$B$2:$I$104,5,FALSE)*'DGNB LCA Results'!$L$3,IF('DGNB LCA Results'!$P$4=1,VLOOKUP('DGNB LCA Results'!$M$3,Construction!$B$2:$I$104,5,FALSE)*'DGNB LCA Results'!$N$3,0))))</f>
        <v>0</v>
      </c>
      <c r="G40" s="56">
        <f>IF('DGNB LCA Results'!$P$4=4,VLOOKUP('DGNB LCA Results'!$M$3,Construction!$B$2:$I$104,6,FALSE)*'DGNB LCA Results'!$N$3+VLOOKUP('DGNB LCA Results'!$K$3,Construction!$B$2:$I$104,6,FALSE)*'DGNB LCA Results'!$L$3+VLOOKUP('DGNB LCA Results'!$I$3,Construction!$B$2:$I$104,6,FALSE)*'DGNB LCA Results'!$J$3+VLOOKUP('DGNB LCA Results'!$G$3,Construction!$B$2:$I$104,6,FALSE)*'DGNB LCA Results'!$H$3,IF('DGNB LCA Results'!$P$4=3,VLOOKUP('DGNB LCA Results'!$M$3,Construction!$B$2:$I$104,6,FALSE)*'DGNB LCA Results'!$N$3+VLOOKUP('DGNB LCA Results'!$K$3,Construction!$B$2:$I$104,6,FALSE)*'DGNB LCA Results'!$L$3+VLOOKUP('DGNB LCA Results'!$I$3,Construction!$B$2:$I$104,6,FALSE)*'DGNB LCA Results'!$J$3,IF('DGNB LCA Results'!$P$4=2,VLOOKUP('DGNB LCA Results'!$M$3,Construction!$B$2:$I$104,6,FALSE)*'DGNB LCA Results'!$N$3+VLOOKUP('DGNB LCA Results'!$K$3,Construction!$B$2:$I$104,6,FALSE)*'DGNB LCA Results'!$L$3,IF('DGNB LCA Results'!$P$4=1,VLOOKUP('DGNB LCA Results'!$M$3,Construction!$B$2:$I$104,6,FALSE)*'DGNB LCA Results'!$N$3,0))))</f>
        <v>0</v>
      </c>
      <c r="H40" s="56">
        <f>IF('DGNB LCA Results'!$P$4=4,VLOOKUP('DGNB LCA Results'!$M$3,Construction!$B$2:$I$104,7,FALSE)*'DGNB LCA Results'!$N$3+VLOOKUP('DGNB LCA Results'!$K$3,Construction!$B$2:$I$104,7,FALSE)*'DGNB LCA Results'!$L$3+VLOOKUP('DGNB LCA Results'!$I$3,Construction!$B$2:$I$104,7,FALSE)*'DGNB LCA Results'!$J$3+VLOOKUP('DGNB LCA Results'!$G$3,Construction!$B$2:$I$104,7,FALSE)*'DGNB LCA Results'!$H$3,IF('DGNB LCA Results'!$P$4=3,VLOOKUP('DGNB LCA Results'!$M$3,Construction!$B$2:$I$104,7,FALSE)*'DGNB LCA Results'!$N$3+VLOOKUP('DGNB LCA Results'!$K$3,Construction!$B$2:$I$104,7,FALSE)*'DGNB LCA Results'!$L$3+VLOOKUP('DGNB LCA Results'!$I$3,Construction!$B$2:$I$104,7,FALSE)*'DGNB LCA Results'!$J$3,IF('DGNB LCA Results'!$P$4=2,VLOOKUP('DGNB LCA Results'!$M$3,Construction!$B$2:$I$104,7,FALSE)*'DGNB LCA Results'!$N$3+VLOOKUP('DGNB LCA Results'!$K$3,Construction!$B$2:$I$104,7,FALSE)*'DGNB LCA Results'!$L$3,IF('DGNB LCA Results'!$P$4=1,VLOOKUP('DGNB LCA Results'!$M$3,Construction!$B$2:$I$104,7,FALSE)*'DGNB LCA Results'!$N$3,0))))</f>
        <v>0</v>
      </c>
      <c r="I40" s="56">
        <f>IF('DGNB LCA Results'!$P$4=4,VLOOKUP('DGNB LCA Results'!$M$3,Construction!$B$2:$I$104,8,FALSE)*'DGNB LCA Results'!$N$3+VLOOKUP('DGNB LCA Results'!$K$3,Construction!$B$2:$I$104,8,FALSE)*'DGNB LCA Results'!$L$3+VLOOKUP('DGNB LCA Results'!$I$3,Construction!$B$2:$I$104,8,FALSE)*'DGNB LCA Results'!$J$3+VLOOKUP('DGNB LCA Results'!$G$3,Construction!$B$2:$I$104,8,FALSE)*'DGNB LCA Results'!$H$3,IF('DGNB LCA Results'!$P$4=3,VLOOKUP('DGNB LCA Results'!$M$3,Construction!$B$2:$I$104,8,FALSE)*'DGNB LCA Results'!$N$3+VLOOKUP('DGNB LCA Results'!$K$3,Construction!$B$2:$I$104,8,FALSE)*'DGNB LCA Results'!$L$3+VLOOKUP('DGNB LCA Results'!$I$3,Construction!$B$2:$I$104,8,FALSE)*'DGNB LCA Results'!$J$3,IF('DGNB LCA Results'!$P$4=2,VLOOKUP('DGNB LCA Results'!$M$3,Construction!$B$2:$I$104,8,FALSE)*'DGNB LCA Results'!$N$3+VLOOKUP('DGNB LCA Results'!$K$3,Construction!$B$2:$I$104,8,FALSE)*'DGNB LCA Results'!$L$3,IF('DGNB LCA Results'!$P$4=1,VLOOKUP('DGNB LCA Results'!$M$3,Construction!$B$2:$I$104,8,FALSE)*'DGNB LCA Results'!$N$3,0))))</f>
        <v>0</v>
      </c>
    </row>
  </sheetData>
  <conditionalFormatting sqref="W2:W10">
    <cfRule type="expression" dxfId="141" priority="136">
      <formula>"'NPS15"</formula>
    </cfRule>
  </conditionalFormatting>
  <conditionalFormatting sqref="W11:W12">
    <cfRule type="expression" dxfId="140" priority="1">
      <formula>"'NPS15"</formula>
    </cfRule>
  </conditionalFormatting>
  <dataValidations disablePrompts="1" count="3">
    <dataValidation type="list" allowBlank="1" showInputMessage="1" showErrorMessage="1" sqref="U1" xr:uid="{00000000-0002-0000-0100-000000000000}">
      <formula1>$U$2:$U$10</formula1>
    </dataValidation>
    <dataValidation type="list" allowBlank="1" showInputMessage="1" showErrorMessage="1" sqref="V1" xr:uid="{00000000-0002-0000-0100-000001000000}">
      <formula1>$V$2:$V$10</formula1>
    </dataValidation>
    <dataValidation type="list" allowBlank="1" showInputMessage="1" showErrorMessage="1" sqref="W1" xr:uid="{00000000-0002-0000-0100-000002000000}">
      <formula1>$W$2:$W$10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9" id="{2E1374A2-C12B-4B06-968A-AA311C0E455E}">
            <xm:f>'DGNB LCA Results'!$M$3</xm:f>
            <x14:dxf>
              <fill>
                <patternFill>
                  <bgColor rgb="FFFFFF00"/>
                </patternFill>
              </fill>
            </x14:dxf>
          </x14:cfRule>
          <xm:sqref>W2:W10</xm:sqref>
        </x14:conditionalFormatting>
        <x14:conditionalFormatting xmlns:xm="http://schemas.microsoft.com/office/excel/2006/main">
          <x14:cfRule type="cellIs" priority="159" operator="equal" id="{B8968119-18F9-4FD1-A2C9-0CDD01232529}">
            <xm:f>'DGNB LCA Results'!$O$5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0" operator="equal" id="{05F4F676-43C3-4A95-BC2D-CF227F706BF6}">
            <xm:f>'DGNB LCA Results'!$G$5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1" operator="equal" id="{427034A8-3CEB-471E-A3C3-5ADDC55E1FF2}">
            <xm:f>'DGNB LCA Results'!$G$5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2" operator="equal" id="{2BDE3A06-1201-452B-A07A-4BE74B68AF13}">
            <xm:f>'DGNB LCA Results'!$I$5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3" operator="equal" id="{2ECE8F79-6FA5-4CA0-931B-9F8510F54D2F}">
            <xm:f>'DGNB LCA Results'!$K$5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4" operator="equal" id="{4DB867EA-25F0-4C87-9E3D-87612D60796B}">
            <xm:f>'DGNB LCA Results'!$K$5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5" operator="equal" id="{0B3CE200-11CF-4F8A-8DA6-29A49948AC4E}">
            <xm:f>'DGNB LCA Results'!$M$5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expression" priority="166" id="{7F662BE7-15D8-4E12-8003-DB60952125DF}">
            <xm:f>'DGNB LCA Results'!$M$3</xm:f>
            <x14:dxf>
              <fill>
                <patternFill>
                  <bgColor rgb="FFFFFF00"/>
                </patternFill>
              </fill>
            </x14:dxf>
          </x14:cfRule>
          <xm:sqref>W2:W10</xm:sqref>
        </x14:conditionalFormatting>
        <x14:conditionalFormatting xmlns:xm="http://schemas.microsoft.com/office/excel/2006/main">
          <x14:cfRule type="cellIs" priority="109" operator="equal" id="{A743E76D-3A7E-4793-B78D-C2307BC62D09}">
            <xm:f>'DGNB LCA Results'!$O$5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" operator="equal" id="{44525A3E-2A99-4896-82EE-D697DD0A72DB}">
            <xm:f>'DGNB LCA Results'!$G$5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1" operator="equal" id="{CEF6ED65-26D1-4DDE-BBDC-F0F8BB9E3E3B}">
            <xm:f>'DGNB LCA Results'!$I$5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2" operator="equal" id="{2D004BA4-3A61-490F-A539-CE24663F7F70}">
            <xm:f>'DGNB LCA Results'!$K$5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3" operator="equal" id="{F6697640-C430-4C38-9F5B-EC37F09216F5}">
            <xm:f>'DGNB LCA Results'!$M$5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W1</xm:sqref>
        </x14:conditionalFormatting>
        <x14:conditionalFormatting xmlns:xm="http://schemas.microsoft.com/office/excel/2006/main">
          <x14:cfRule type="expression" priority="71" id="{A8C570DD-8CE7-4AAF-86F5-D5AF7AC2F70D}">
            <xm:f>FIND($B12,'DGNB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2" id="{5B4FB56F-974C-4C83-8B17-65DB4F71E4B5}">
            <xm:f>FIND($B12,'DGNB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3" id="{81B265D9-B4B2-4597-BC21-0A46237D3C4D}">
            <xm:f>FIND($B12,'DGNB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4" id="{C6E66EDB-AFBE-4E7F-8FBD-9750C1E7F4FD}">
            <xm:f>FIND($B12,'DGNB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A12:I36</xm:sqref>
        </x14:conditionalFormatting>
        <x14:conditionalFormatting xmlns:xm="http://schemas.microsoft.com/office/excel/2006/main">
          <x14:cfRule type="expression" priority="67" id="{3EE61CE9-1F70-4DAD-81DE-593ABEF5620C}">
            <xm:f>FIND($B2,'DGNB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8" id="{4E379CC7-F749-4B75-BE6F-0DDA79F50AA1}">
            <xm:f>FIND($B2,'DGNB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9" id="{21928228-79EE-4365-A2F5-A1BB174D23CB}">
            <xm:f>FIND($B2,'DGNB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0" id="{1C1BB8C7-1591-46D7-8454-07B930CB97AA}">
            <xm:f>FIND($B2,'DGNB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A2:I11</xm:sqref>
        </x14:conditionalFormatting>
        <x14:conditionalFormatting xmlns:xm="http://schemas.microsoft.com/office/excel/2006/main">
          <x14:cfRule type="expression" priority="66" id="{DE2B08B2-6EAC-4B08-9CBC-46D2F4C66BB3}">
            <xm:f>'DGNB LCA Results'!$F$54="BRI [m³]"</xm:f>
            <x14:dxf>
              <fill>
                <patternFill>
                  <bgColor theme="0"/>
                </patternFill>
              </fill>
            </x14:dxf>
          </x14:cfRule>
          <xm:sqref>A2:I34 A35:B36 A40 C40:I40</xm:sqref>
        </x14:conditionalFormatting>
        <x14:conditionalFormatting xmlns:xm="http://schemas.microsoft.com/office/excel/2006/main">
          <x14:cfRule type="expression" priority="62" id="{DE59FB94-8917-4C43-956C-13705DF14091}">
            <xm:f>FIND($B2,'DGNB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3" id="{9462D366-AD2F-4A10-8E22-38DE8ED02C77}">
            <xm:f>FIND($B2,'DGNB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4" id="{FA411E53-90F2-456D-8F03-A7B353633701}">
            <xm:f>FIND($B2,'DGNB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5" id="{D25D80CD-4061-4330-9EA5-D8387E0F4B02}">
            <xm:f>FIND($B2,'DGNB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K2:S7</xm:sqref>
        </x14:conditionalFormatting>
        <x14:conditionalFormatting xmlns:xm="http://schemas.microsoft.com/office/excel/2006/main">
          <x14:cfRule type="expression" priority="61" id="{9F2D6854-47CA-46A6-B041-9187583E803A}">
            <xm:f>NOT('DGNB LCA Results'!$F$54="BRI [m³]")</xm:f>
            <x14:dxf>
              <fill>
                <patternFill>
                  <bgColor theme="0"/>
                </patternFill>
              </fill>
            </x14:dxf>
          </x14:cfRule>
          <xm:sqref>K2:S7</xm:sqref>
        </x14:conditionalFormatting>
        <x14:conditionalFormatting xmlns:xm="http://schemas.microsoft.com/office/excel/2006/main">
          <x14:cfRule type="expression" priority="57" id="{550A7062-2084-496A-AD28-0345AD0E7B7E}">
            <xm:f>FIND($B37,'DGNB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8" id="{C3D21A5A-5331-4330-89D1-4B227AC7CA9F}">
            <xm:f>FIND($B37,'DGNB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9" id="{B13DB538-E54E-43C6-884A-B69E45E173E3}">
            <xm:f>FIND($B37,'DGNB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0" id="{FF4409A8-71D3-4FC4-9846-4CB6953D8B16}">
            <xm:f>FIND($B37,'DGNB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A37:I39 A40 C40:I40</xm:sqref>
        </x14:conditionalFormatting>
        <x14:conditionalFormatting xmlns:xm="http://schemas.microsoft.com/office/excel/2006/main">
          <x14:cfRule type="expression" priority="56" id="{FDB5BC8C-18A0-45D1-BFB3-B864C0D4BA22}">
            <xm:f>'DGNB LCA Results'!$F$54="BRI [m³]"</xm:f>
            <x14:dxf>
              <fill>
                <patternFill>
                  <bgColor theme="0"/>
                </patternFill>
              </fill>
            </x14:dxf>
          </x14:cfRule>
          <xm:sqref>A37:I39</xm:sqref>
        </x14:conditionalFormatting>
        <x14:conditionalFormatting xmlns:xm="http://schemas.microsoft.com/office/excel/2006/main">
          <x14:cfRule type="expression" priority="52" id="{00D74BED-B337-4DAC-B6FF-F740C827BCE9}">
            <xm:f>FIND($B8,'DGNB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3" id="{4FC9193D-3428-44FB-B2E2-503FBC9C52CD}">
            <xm:f>FIND($B8,'DGNB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4" id="{535E36C8-1E96-4466-B4D8-B59E346A7CE6}">
            <xm:f>FIND($B8,'DGNB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5" id="{C81FEA45-8F75-4F59-A051-05F62C651AC2}">
            <xm:f>FIND($B8,'DGNB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K9:S12</xm:sqref>
        </x14:conditionalFormatting>
        <x14:conditionalFormatting xmlns:xm="http://schemas.microsoft.com/office/excel/2006/main">
          <x14:cfRule type="expression" priority="51" id="{38AE3255-3121-46D4-8FBD-8AB807CE2EEA}">
            <xm:f>NOT('DGNB LCA Results'!$F$54="BRI [m³]")</xm:f>
            <x14:dxf>
              <fill>
                <patternFill>
                  <bgColor theme="0"/>
                </patternFill>
              </fill>
            </x14:dxf>
          </x14:cfRule>
          <xm:sqref>K9:S12</xm:sqref>
        </x14:conditionalFormatting>
        <x14:conditionalFormatting xmlns:xm="http://schemas.microsoft.com/office/excel/2006/main">
          <x14:cfRule type="expression" priority="46" id="{6043E551-E29E-4A12-9894-F32433A75570}">
            <xm:f>'DGNB LCA Results'!$F$54="BRI [m³]"</xm:f>
            <x14:dxf>
              <fill>
                <patternFill>
                  <bgColor theme="0"/>
                </patternFill>
              </fill>
            </x14:dxf>
          </x14:cfRule>
          <xm:sqref>C35:I35</xm:sqref>
        </x14:conditionalFormatting>
        <x14:conditionalFormatting xmlns:xm="http://schemas.microsoft.com/office/excel/2006/main">
          <x14:cfRule type="expression" priority="41" id="{274CA89F-65DF-499A-A857-05DD48967A15}">
            <xm:f>'DGNB LCA Results'!$F$54="BRI [m³]"</xm:f>
            <x14:dxf>
              <fill>
                <patternFill>
                  <bgColor theme="0"/>
                </patternFill>
              </fill>
            </x14:dxf>
          </x14:cfRule>
          <xm:sqref>C36:I36</xm:sqref>
        </x14:conditionalFormatting>
        <x14:conditionalFormatting xmlns:xm="http://schemas.microsoft.com/office/excel/2006/main">
          <x14:cfRule type="expression" priority="17" id="{17FB92D6-06BD-49E8-BA37-A37C7358AEB0}">
            <xm:f>FIND($B39,'DGNB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" id="{C28E8A78-1C92-4448-81B0-3DDE85ECE8D9}">
            <xm:f>FIND($B39,'DGNB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9" id="{1F14B1FC-0293-4A85-ACF5-B1C72FEB2E47}">
            <xm:f>FIND($B39,'DGNB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0" id="{1A81FD30-2142-4AE6-A824-284587E73021}">
            <xm:f>FIND($B39,'DGNB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6" id="{B53DAF54-A2E3-4E0F-813F-EAB7AFCE87F6}">
            <xm:f>NOT('DGNB LCA Results'!$F$54="BRI [m³]")</xm:f>
            <x14:dxf>
              <fill>
                <patternFill>
                  <bgColor theme="0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2" id="{D2C7300A-C7DE-4797-94E4-3D51C06FC4BA}">
            <xm:f>FIND($B8,'DGNB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" id="{D00DE6ED-A9E6-423E-86D6-600DA1699718}">
            <xm:f>FIND($B8,'DGNB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059BFEB3-A977-4B62-9227-E552DA162320}">
            <xm:f>FIND($B8,'DGNB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5" id="{EE754AEF-60A9-44BE-9501-F7B5076AA2FC}">
            <xm:f>FIND($B8,'DGNB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K8:S8</xm:sqref>
        </x14:conditionalFormatting>
        <x14:conditionalFormatting xmlns:xm="http://schemas.microsoft.com/office/excel/2006/main">
          <x14:cfRule type="expression" priority="11" id="{CB18C0CC-983B-46A1-9443-18667CBB0BA6}">
            <xm:f>NOT('DGNB LCA Results'!$F$54="BRI [m³]")</xm:f>
            <x14:dxf>
              <fill>
                <patternFill>
                  <bgColor theme="0"/>
                </patternFill>
              </fill>
            </x14:dxf>
          </x14:cfRule>
          <xm:sqref>K8:S8</xm:sqref>
        </x14:conditionalFormatting>
        <x14:conditionalFormatting xmlns:xm="http://schemas.microsoft.com/office/excel/2006/main">
          <x14:cfRule type="expression" priority="2" id="{871DAB93-B8AD-4D54-BE13-AAFABEA8CACA}">
            <xm:f>'DGNB LCA Results'!$M$3</xm:f>
            <x14:dxf>
              <fill>
                <patternFill>
                  <bgColor rgb="FFFFFF00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3" operator="equal" id="{60B9CE98-2D84-4E18-BC61-682220B678FA}">
            <xm:f>'DGNB LCA Results'!$O$5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9B11325-E375-4A8A-857D-C564AC860C46}">
            <xm:f>'DGNB LCA Results'!$G$5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equal" id="{795B0235-0215-414E-8095-13B1EA95E7AE}">
            <xm:f>'DGNB LCA Results'!$G$5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82DC80E-33A6-486A-AD87-0CD8584C72ED}">
            <xm:f>'DGNB LCA Results'!$I$5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7" operator="equal" id="{418F7DCD-7316-4914-BBCD-18B939651DB2}">
            <xm:f>'DGNB LCA Results'!$K$5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" operator="equal" id="{2EF5DA1B-F49A-41B1-9D89-059D8A58D6F5}">
            <xm:f>'DGNB LCA Results'!$K$5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773239AC-F4EC-40DF-A2AD-29697C440192}">
            <xm:f>'DGNB LCA Results'!$M$5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expression" priority="10" id="{7AB9053E-1C68-49A4-B630-2CAFA3B9F613}">
            <xm:f>'DGNB LCA Results'!$M$3</xm:f>
            <x14:dxf>
              <fill>
                <patternFill>
                  <bgColor rgb="FFFFFF00"/>
                </patternFill>
              </fill>
            </x14:dxf>
          </x14:cfRule>
          <xm:sqref>W11:W12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I111"/>
  <sheetViews>
    <sheetView topLeftCell="A22" workbookViewId="0">
      <selection activeCell="AI41" sqref="AI41"/>
    </sheetView>
  </sheetViews>
  <sheetFormatPr baseColWidth="10" defaultColWidth="9.1640625" defaultRowHeight="15" x14ac:dyDescent="0.2"/>
  <cols>
    <col min="1" max="1" width="29.33203125" customWidth="1"/>
    <col min="3" max="3" width="13.33203125" customWidth="1"/>
    <col min="4" max="4" width="11" bestFit="1" customWidth="1"/>
    <col min="10" max="10" width="29.6640625" customWidth="1"/>
    <col min="12" max="12" width="12" bestFit="1" customWidth="1"/>
    <col min="13" max="13" width="11" bestFit="1" customWidth="1"/>
    <col min="15" max="15" width="10" bestFit="1" customWidth="1"/>
    <col min="19" max="19" width="31" customWidth="1"/>
    <col min="28" max="28" width="29.1640625" customWidth="1"/>
  </cols>
  <sheetData>
    <row r="1" spans="1:35" ht="32" x14ac:dyDescent="0.2">
      <c r="A1" s="61" t="s">
        <v>102</v>
      </c>
      <c r="B1" s="258" t="s">
        <v>4</v>
      </c>
      <c r="C1" s="54" t="s">
        <v>5</v>
      </c>
      <c r="D1" s="50" t="s">
        <v>6</v>
      </c>
      <c r="E1" s="54" t="s">
        <v>7</v>
      </c>
      <c r="F1" s="50" t="s">
        <v>8</v>
      </c>
      <c r="G1" s="54" t="s">
        <v>9</v>
      </c>
      <c r="H1" s="51" t="s">
        <v>10</v>
      </c>
      <c r="J1" s="162" t="s">
        <v>103</v>
      </c>
      <c r="K1" s="54" t="s">
        <v>4</v>
      </c>
      <c r="L1" s="54" t="s">
        <v>5</v>
      </c>
      <c r="M1" s="50" t="s">
        <v>6</v>
      </c>
      <c r="N1" s="54" t="s">
        <v>7</v>
      </c>
      <c r="O1" s="50" t="s">
        <v>8</v>
      </c>
      <c r="P1" s="54" t="s">
        <v>9</v>
      </c>
      <c r="Q1" s="51" t="s">
        <v>10</v>
      </c>
      <c r="S1" s="115" t="s">
        <v>104</v>
      </c>
      <c r="T1" s="54" t="s">
        <v>4</v>
      </c>
      <c r="U1" s="54" t="s">
        <v>5</v>
      </c>
      <c r="V1" s="54" t="s">
        <v>6</v>
      </c>
      <c r="W1" s="54" t="s">
        <v>7</v>
      </c>
      <c r="X1" s="54" t="s">
        <v>8</v>
      </c>
      <c r="Y1" s="54" t="s">
        <v>9</v>
      </c>
      <c r="Z1" s="54" t="s">
        <v>10</v>
      </c>
      <c r="AB1" s="116" t="s">
        <v>105</v>
      </c>
      <c r="AC1" s="54" t="s">
        <v>4</v>
      </c>
      <c r="AD1" s="54" t="s">
        <v>5</v>
      </c>
      <c r="AE1" s="54" t="s">
        <v>6</v>
      </c>
      <c r="AF1" s="54" t="s">
        <v>7</v>
      </c>
      <c r="AG1" s="54" t="s">
        <v>8</v>
      </c>
      <c r="AH1" s="54" t="s">
        <v>9</v>
      </c>
      <c r="AI1" s="54" t="s">
        <v>10</v>
      </c>
    </row>
    <row r="2" spans="1:35" ht="15" customHeight="1" x14ac:dyDescent="0.2">
      <c r="A2" s="253" t="s">
        <v>70</v>
      </c>
      <c r="B2" s="257">
        <v>0.62</v>
      </c>
      <c r="C2" s="48">
        <v>3.0699999999999999E-9</v>
      </c>
      <c r="D2" s="59">
        <v>7.6199999999999995E-5</v>
      </c>
      <c r="E2" s="56">
        <v>1.0300000000000001E-3</v>
      </c>
      <c r="F2" s="56">
        <v>9.9199999999999999E-5</v>
      </c>
      <c r="G2" s="56">
        <v>8.7799999999999994</v>
      </c>
      <c r="H2" s="56">
        <v>10.26</v>
      </c>
      <c r="J2" s="92" t="s">
        <v>70</v>
      </c>
      <c r="K2" s="257">
        <v>0.28999999999999998</v>
      </c>
      <c r="L2" s="48">
        <v>3.7999999999999998E-11</v>
      </c>
      <c r="M2" s="59">
        <v>3.9499999999999998E-5</v>
      </c>
      <c r="N2" s="56">
        <v>3.9199999999999999E-4</v>
      </c>
      <c r="O2" s="56">
        <v>2.4300000000000001E-5</v>
      </c>
      <c r="P2" s="56">
        <v>4.3600000000000003</v>
      </c>
      <c r="Q2" s="56">
        <v>4.3899999999999997</v>
      </c>
      <c r="S2" s="92" t="s">
        <v>70</v>
      </c>
      <c r="T2" s="257">
        <v>0</v>
      </c>
      <c r="U2" s="48">
        <v>0</v>
      </c>
      <c r="V2" s="59">
        <v>0</v>
      </c>
      <c r="W2" s="56">
        <v>0</v>
      </c>
      <c r="X2" s="56">
        <v>0</v>
      </c>
      <c r="Y2" s="56">
        <v>0</v>
      </c>
      <c r="Z2" s="56">
        <v>0</v>
      </c>
      <c r="AB2" s="92" t="s">
        <v>70</v>
      </c>
      <c r="AC2" s="257">
        <v>0</v>
      </c>
      <c r="AD2" s="48">
        <v>0</v>
      </c>
      <c r="AE2" s="59">
        <v>0</v>
      </c>
      <c r="AF2" s="56">
        <v>0</v>
      </c>
      <c r="AG2" s="56">
        <v>0</v>
      </c>
      <c r="AH2" s="56">
        <v>0</v>
      </c>
      <c r="AI2" s="56">
        <v>0</v>
      </c>
    </row>
    <row r="3" spans="1:35" ht="15" customHeight="1" x14ac:dyDescent="0.2">
      <c r="A3" s="253" t="s">
        <v>0</v>
      </c>
      <c r="B3" s="259">
        <v>0.62</v>
      </c>
      <c r="C3" s="48">
        <v>3.0699999999999999E-9</v>
      </c>
      <c r="D3" s="59">
        <v>7.6000000000000004E-5</v>
      </c>
      <c r="E3" s="56">
        <v>1.0300000000000001E-3</v>
      </c>
      <c r="F3" s="56">
        <v>9.8999999999999994E-5</v>
      </c>
      <c r="G3" s="56">
        <v>8.8000000000000007</v>
      </c>
      <c r="H3" s="56">
        <v>10.3</v>
      </c>
      <c r="J3" s="160" t="s">
        <v>0</v>
      </c>
      <c r="K3" s="259">
        <v>0.25</v>
      </c>
      <c r="L3" s="48">
        <v>1.7999999999999999E-11</v>
      </c>
      <c r="M3" s="59">
        <v>3.1000000000000001E-5</v>
      </c>
      <c r="N3" s="56">
        <v>2.7E-4</v>
      </c>
      <c r="O3" s="56">
        <v>1.9000000000000001E-5</v>
      </c>
      <c r="P3" s="56">
        <v>3.8</v>
      </c>
      <c r="Q3" s="56">
        <v>3.9</v>
      </c>
      <c r="S3" s="160" t="s">
        <v>0</v>
      </c>
      <c r="T3" s="259">
        <v>0</v>
      </c>
      <c r="U3" s="48">
        <v>0</v>
      </c>
      <c r="V3" s="59">
        <v>0</v>
      </c>
      <c r="W3" s="56">
        <v>0</v>
      </c>
      <c r="X3" s="56">
        <v>0</v>
      </c>
      <c r="Y3" s="56">
        <v>0</v>
      </c>
      <c r="Z3" s="56">
        <v>0</v>
      </c>
      <c r="AB3" s="160" t="s">
        <v>0</v>
      </c>
      <c r="AC3" s="259">
        <v>0</v>
      </c>
      <c r="AD3" s="48">
        <v>0</v>
      </c>
      <c r="AE3" s="59">
        <v>0</v>
      </c>
      <c r="AF3" s="56">
        <v>0</v>
      </c>
      <c r="AG3" s="56">
        <v>0</v>
      </c>
      <c r="AH3" s="56">
        <v>0</v>
      </c>
      <c r="AI3" s="56">
        <v>0</v>
      </c>
    </row>
    <row r="4" spans="1:35" ht="16" x14ac:dyDescent="0.2">
      <c r="A4" s="253" t="s">
        <v>74</v>
      </c>
      <c r="B4" s="259">
        <v>0.62</v>
      </c>
      <c r="C4" s="48">
        <v>3.0699999999999999E-9</v>
      </c>
      <c r="D4" s="59">
        <v>7.6199999999999995E-5</v>
      </c>
      <c r="E4" s="56">
        <v>1.0300000000000001E-3</v>
      </c>
      <c r="F4" s="56">
        <v>9.9199999999999999E-5</v>
      </c>
      <c r="G4" s="56">
        <v>8.7799999999999994</v>
      </c>
      <c r="H4" s="56">
        <v>10.26</v>
      </c>
      <c r="J4" s="160" t="s">
        <v>74</v>
      </c>
      <c r="K4" s="259">
        <v>0.28999999999999998</v>
      </c>
      <c r="L4" s="48">
        <v>3.7999999999999998E-11</v>
      </c>
      <c r="M4" s="59">
        <v>3.9499999999999998E-5</v>
      </c>
      <c r="N4" s="56">
        <v>3.9199999999999999E-4</v>
      </c>
      <c r="O4" s="56">
        <v>2.4300000000000001E-5</v>
      </c>
      <c r="P4" s="56">
        <v>4.3600000000000003</v>
      </c>
      <c r="Q4" s="56">
        <v>4.3899999999999997</v>
      </c>
      <c r="S4" s="160" t="s">
        <v>74</v>
      </c>
      <c r="T4" s="259">
        <v>0</v>
      </c>
      <c r="U4" s="48">
        <v>0</v>
      </c>
      <c r="V4" s="59">
        <v>0</v>
      </c>
      <c r="W4" s="56">
        <v>0</v>
      </c>
      <c r="X4" s="56">
        <v>0</v>
      </c>
      <c r="Y4" s="56">
        <v>0</v>
      </c>
      <c r="Z4" s="56">
        <v>0</v>
      </c>
      <c r="AB4" s="160" t="s">
        <v>74</v>
      </c>
      <c r="AC4" s="259">
        <v>0</v>
      </c>
      <c r="AD4" s="48">
        <v>0</v>
      </c>
      <c r="AE4" s="59">
        <v>0</v>
      </c>
      <c r="AF4" s="56">
        <v>0</v>
      </c>
      <c r="AG4" s="56">
        <v>0</v>
      </c>
      <c r="AH4" s="56">
        <v>0</v>
      </c>
      <c r="AI4" s="56">
        <v>0</v>
      </c>
    </row>
    <row r="5" spans="1:35" ht="16" x14ac:dyDescent="0.2">
      <c r="A5" s="253" t="s">
        <v>76</v>
      </c>
      <c r="B5" s="259">
        <v>0.62</v>
      </c>
      <c r="C5" s="48">
        <v>3.0699999999999999E-9</v>
      </c>
      <c r="D5" s="59">
        <v>7.6000000000000004E-5</v>
      </c>
      <c r="E5" s="56">
        <v>1.0300000000000001E-3</v>
      </c>
      <c r="F5" s="56">
        <v>9.8999999999999994E-5</v>
      </c>
      <c r="G5" s="56">
        <v>8.8000000000000007</v>
      </c>
      <c r="H5" s="56">
        <v>10.3</v>
      </c>
      <c r="J5" s="160" t="s">
        <v>76</v>
      </c>
      <c r="K5" s="259">
        <v>0.25</v>
      </c>
      <c r="L5" s="48">
        <v>1.7999999999999999E-11</v>
      </c>
      <c r="M5" s="59">
        <v>3.1000000000000001E-5</v>
      </c>
      <c r="N5" s="56">
        <v>2.7E-4</v>
      </c>
      <c r="O5" s="56">
        <v>1.9000000000000001E-5</v>
      </c>
      <c r="P5" s="56">
        <v>3.8</v>
      </c>
      <c r="Q5" s="56">
        <v>3.9</v>
      </c>
      <c r="S5" s="160" t="s">
        <v>76</v>
      </c>
      <c r="T5" s="259">
        <v>0</v>
      </c>
      <c r="U5" s="48">
        <v>0</v>
      </c>
      <c r="V5" s="59">
        <v>0</v>
      </c>
      <c r="W5" s="56">
        <v>0</v>
      </c>
      <c r="X5" s="56">
        <v>0</v>
      </c>
      <c r="Y5" s="56">
        <v>0</v>
      </c>
      <c r="Z5" s="56">
        <v>0</v>
      </c>
      <c r="AB5" s="160" t="s">
        <v>76</v>
      </c>
      <c r="AC5" s="259">
        <v>0</v>
      </c>
      <c r="AD5" s="48">
        <v>0</v>
      </c>
      <c r="AE5" s="59">
        <v>0</v>
      </c>
      <c r="AF5" s="56">
        <v>0</v>
      </c>
      <c r="AG5" s="56">
        <v>0</v>
      </c>
      <c r="AH5" s="56">
        <v>0</v>
      </c>
      <c r="AI5" s="56">
        <v>0</v>
      </c>
    </row>
    <row r="6" spans="1:35" ht="16" x14ac:dyDescent="0.2">
      <c r="A6" s="253" t="s">
        <v>78</v>
      </c>
      <c r="B6" s="259">
        <v>0.62</v>
      </c>
      <c r="C6" s="48">
        <v>3.0699999999999999E-9</v>
      </c>
      <c r="D6" s="59">
        <v>7.6199999999999995E-5</v>
      </c>
      <c r="E6" s="56">
        <v>1.0300000000000001E-3</v>
      </c>
      <c r="F6" s="56">
        <v>9.9199999999999999E-5</v>
      </c>
      <c r="G6" s="56">
        <v>8.7799999999999994</v>
      </c>
      <c r="H6" s="56">
        <v>10.26</v>
      </c>
      <c r="J6" s="160" t="s">
        <v>78</v>
      </c>
      <c r="K6" s="259">
        <v>0.28999999999999998</v>
      </c>
      <c r="L6" s="48">
        <v>3.7999999999999998E-11</v>
      </c>
      <c r="M6" s="59">
        <v>3.9499999999999998E-5</v>
      </c>
      <c r="N6" s="56">
        <v>3.9199999999999999E-4</v>
      </c>
      <c r="O6" s="56">
        <v>2.4300000000000001E-5</v>
      </c>
      <c r="P6" s="56">
        <v>4.3600000000000003</v>
      </c>
      <c r="Q6" s="56">
        <v>4.3899999999999997</v>
      </c>
      <c r="S6" s="160" t="s">
        <v>78</v>
      </c>
      <c r="T6" s="259">
        <v>0</v>
      </c>
      <c r="U6" s="48">
        <v>0</v>
      </c>
      <c r="V6" s="59">
        <v>0</v>
      </c>
      <c r="W6" s="56">
        <v>0</v>
      </c>
      <c r="X6" s="56">
        <v>0</v>
      </c>
      <c r="Y6" s="56">
        <v>0</v>
      </c>
      <c r="Z6" s="56">
        <v>0</v>
      </c>
      <c r="AB6" s="160" t="s">
        <v>78</v>
      </c>
      <c r="AC6" s="259">
        <v>0</v>
      </c>
      <c r="AD6" s="48">
        <v>0</v>
      </c>
      <c r="AE6" s="59">
        <v>0</v>
      </c>
      <c r="AF6" s="56">
        <v>0</v>
      </c>
      <c r="AG6" s="56">
        <v>0</v>
      </c>
      <c r="AH6" s="56">
        <v>0</v>
      </c>
      <c r="AI6" s="56">
        <v>0</v>
      </c>
    </row>
    <row r="7" spans="1:35" ht="16" x14ac:dyDescent="0.2">
      <c r="A7" s="253" t="s">
        <v>80</v>
      </c>
      <c r="B7" s="259">
        <v>0.62</v>
      </c>
      <c r="C7" s="48">
        <v>3.0699999999999999E-9</v>
      </c>
      <c r="D7" s="59">
        <v>7.6199999999999995E-5</v>
      </c>
      <c r="E7" s="56">
        <v>1.0300000000000001E-3</v>
      </c>
      <c r="F7" s="56">
        <v>9.9199999999999999E-5</v>
      </c>
      <c r="G7" s="56">
        <v>8.7799999999999994</v>
      </c>
      <c r="H7" s="56">
        <v>10.26</v>
      </c>
      <c r="J7" s="160" t="s">
        <v>80</v>
      </c>
      <c r="K7" s="259">
        <v>0.28999999999999998</v>
      </c>
      <c r="L7" s="48">
        <v>3.7999999999999998E-11</v>
      </c>
      <c r="M7" s="59">
        <v>3.9499999999999998E-5</v>
      </c>
      <c r="N7" s="56">
        <v>3.9199999999999999E-4</v>
      </c>
      <c r="O7" s="56">
        <v>2.4300000000000001E-5</v>
      </c>
      <c r="P7" s="56">
        <v>4.3600000000000003</v>
      </c>
      <c r="Q7" s="56">
        <v>4.3899999999999997</v>
      </c>
      <c r="S7" s="160" t="s">
        <v>80</v>
      </c>
      <c r="T7" s="259">
        <v>0</v>
      </c>
      <c r="U7" s="48">
        <v>0</v>
      </c>
      <c r="V7" s="59">
        <v>0</v>
      </c>
      <c r="W7" s="56">
        <v>0</v>
      </c>
      <c r="X7" s="56">
        <v>0</v>
      </c>
      <c r="Y7" s="56">
        <v>0</v>
      </c>
      <c r="Z7" s="56">
        <v>0</v>
      </c>
      <c r="AB7" s="160" t="s">
        <v>80</v>
      </c>
      <c r="AC7" s="259">
        <v>0</v>
      </c>
      <c r="AD7" s="48">
        <v>0</v>
      </c>
      <c r="AE7" s="59">
        <v>0</v>
      </c>
      <c r="AF7" s="56">
        <v>0</v>
      </c>
      <c r="AG7" s="56">
        <v>0</v>
      </c>
      <c r="AH7" s="56">
        <v>0</v>
      </c>
      <c r="AI7" s="56">
        <v>0</v>
      </c>
    </row>
    <row r="8" spans="1:35" ht="16" x14ac:dyDescent="0.2">
      <c r="A8" s="253" t="s">
        <v>82</v>
      </c>
      <c r="B8" s="259">
        <v>0.62</v>
      </c>
      <c r="C8" s="48">
        <v>3.0699999999999999E-9</v>
      </c>
      <c r="D8" s="59">
        <v>7.6000000000000004E-5</v>
      </c>
      <c r="E8" s="56">
        <v>1.0300000000000001E-3</v>
      </c>
      <c r="F8" s="56">
        <v>9.8999999999999994E-5</v>
      </c>
      <c r="G8" s="56">
        <v>8.8000000000000007</v>
      </c>
      <c r="H8" s="56">
        <v>10.3</v>
      </c>
      <c r="J8" s="160" t="s">
        <v>82</v>
      </c>
      <c r="K8" s="259">
        <v>0.25</v>
      </c>
      <c r="L8" s="48">
        <v>1.7999999999999999E-11</v>
      </c>
      <c r="M8" s="59">
        <v>3.1000000000000001E-5</v>
      </c>
      <c r="N8" s="56">
        <v>2.7E-4</v>
      </c>
      <c r="O8" s="56">
        <v>1.9000000000000001E-5</v>
      </c>
      <c r="P8" s="56">
        <v>3.8</v>
      </c>
      <c r="Q8" s="56">
        <v>3.9</v>
      </c>
      <c r="S8" s="160" t="s">
        <v>82</v>
      </c>
      <c r="T8" s="259">
        <v>0</v>
      </c>
      <c r="U8" s="48">
        <v>0</v>
      </c>
      <c r="V8" s="59">
        <v>0</v>
      </c>
      <c r="W8" s="56">
        <v>0</v>
      </c>
      <c r="X8" s="56">
        <v>0</v>
      </c>
      <c r="Y8" s="56">
        <v>0</v>
      </c>
      <c r="Z8" s="56">
        <v>0</v>
      </c>
      <c r="AB8" s="160" t="s">
        <v>82</v>
      </c>
      <c r="AC8" s="259">
        <v>0</v>
      </c>
      <c r="AD8" s="48">
        <v>0</v>
      </c>
      <c r="AE8" s="59">
        <v>0</v>
      </c>
      <c r="AF8" s="56">
        <v>0</v>
      </c>
      <c r="AG8" s="56">
        <v>0</v>
      </c>
      <c r="AH8" s="56">
        <v>0</v>
      </c>
      <c r="AI8" s="56">
        <v>0</v>
      </c>
    </row>
    <row r="9" spans="1:35" ht="16" x14ac:dyDescent="0.2">
      <c r="A9" s="253" t="s">
        <v>83</v>
      </c>
      <c r="B9" s="259">
        <v>0.62</v>
      </c>
      <c r="C9" s="48">
        <v>3.0699999999999999E-9</v>
      </c>
      <c r="D9" s="59">
        <v>7.6199999999999995E-5</v>
      </c>
      <c r="E9" s="56">
        <v>1.0300000000000001E-3</v>
      </c>
      <c r="F9" s="56">
        <v>9.9199999999999999E-5</v>
      </c>
      <c r="G9" s="56">
        <v>8.7799999999999994</v>
      </c>
      <c r="H9" s="56">
        <v>10.26</v>
      </c>
      <c r="J9" s="160" t="s">
        <v>83</v>
      </c>
      <c r="K9" s="259">
        <v>0.28999999999999998</v>
      </c>
      <c r="L9" s="48">
        <v>3.7999999999999998E-11</v>
      </c>
      <c r="M9" s="59">
        <v>3.9499999999999998E-5</v>
      </c>
      <c r="N9" s="56">
        <v>3.9199999999999999E-4</v>
      </c>
      <c r="O9" s="56">
        <v>2.4300000000000001E-5</v>
      </c>
      <c r="P9" s="56">
        <v>4.3600000000000003</v>
      </c>
      <c r="Q9" s="56">
        <v>4.3899999999999997</v>
      </c>
      <c r="S9" s="160" t="s">
        <v>83</v>
      </c>
      <c r="T9" s="259">
        <v>0</v>
      </c>
      <c r="U9" s="48">
        <v>0</v>
      </c>
      <c r="V9" s="59">
        <v>0</v>
      </c>
      <c r="W9" s="56">
        <v>0</v>
      </c>
      <c r="X9" s="56">
        <v>0</v>
      </c>
      <c r="Y9" s="56">
        <v>0</v>
      </c>
      <c r="Z9" s="56">
        <v>0</v>
      </c>
      <c r="AB9" s="160" t="s">
        <v>83</v>
      </c>
      <c r="AC9" s="259">
        <v>0</v>
      </c>
      <c r="AD9" s="48">
        <v>0</v>
      </c>
      <c r="AE9" s="59">
        <v>0</v>
      </c>
      <c r="AF9" s="56">
        <v>0</v>
      </c>
      <c r="AG9" s="56">
        <v>0</v>
      </c>
      <c r="AH9" s="56">
        <v>0</v>
      </c>
      <c r="AI9" s="56">
        <v>0</v>
      </c>
    </row>
    <row r="10" spans="1:35" ht="16" x14ac:dyDescent="0.2">
      <c r="A10" s="253" t="s">
        <v>84</v>
      </c>
      <c r="B10" s="259">
        <v>0.71</v>
      </c>
      <c r="C10" s="48">
        <v>1.1999999999999999E-7</v>
      </c>
      <c r="D10" s="59">
        <v>8.0000000000000004E-4</v>
      </c>
      <c r="E10" s="56">
        <v>1.2099999999999999E-3</v>
      </c>
      <c r="F10" s="56">
        <v>9.2999999999999997E-5</v>
      </c>
      <c r="G10" s="56">
        <v>8.7799999999999994</v>
      </c>
      <c r="H10" s="56">
        <v>10.26</v>
      </c>
      <c r="J10" s="160" t="s">
        <v>84</v>
      </c>
      <c r="K10" s="259">
        <v>0.31</v>
      </c>
      <c r="L10" s="48">
        <v>3.1E-9</v>
      </c>
      <c r="M10" s="59">
        <v>4.4000000000000002E-4</v>
      </c>
      <c r="N10" s="56">
        <v>4.4000000000000002E-4</v>
      </c>
      <c r="O10" s="56">
        <v>3.3000000000000003E-5</v>
      </c>
      <c r="P10" s="56">
        <v>4.3600000000000003</v>
      </c>
      <c r="Q10" s="56">
        <v>4.3899999999999997</v>
      </c>
      <c r="S10" s="160" t="s">
        <v>84</v>
      </c>
      <c r="T10" s="259">
        <v>0</v>
      </c>
      <c r="U10" s="48">
        <v>0</v>
      </c>
      <c r="V10" s="59">
        <v>0</v>
      </c>
      <c r="W10" s="56">
        <v>0</v>
      </c>
      <c r="X10" s="56">
        <v>0</v>
      </c>
      <c r="Y10" s="56">
        <v>0</v>
      </c>
      <c r="Z10" s="56">
        <v>0</v>
      </c>
      <c r="AB10" s="160" t="s">
        <v>84</v>
      </c>
      <c r="AC10" s="259">
        <v>0</v>
      </c>
      <c r="AD10" s="48">
        <v>0</v>
      </c>
      <c r="AE10" s="59">
        <v>0</v>
      </c>
      <c r="AF10" s="56">
        <v>0</v>
      </c>
      <c r="AG10" s="56">
        <v>0</v>
      </c>
      <c r="AH10" s="56">
        <v>0</v>
      </c>
      <c r="AI10" s="56">
        <v>0</v>
      </c>
    </row>
    <row r="11" spans="1:35" ht="16" x14ac:dyDescent="0.2">
      <c r="A11" s="253" t="s">
        <v>85</v>
      </c>
      <c r="B11" s="259">
        <v>0.62</v>
      </c>
      <c r="C11" s="48">
        <v>3.0699999999999999E-9</v>
      </c>
      <c r="D11" s="59">
        <v>7.6000000000000004E-5</v>
      </c>
      <c r="E11" s="56">
        <v>1.0300000000000001E-3</v>
      </c>
      <c r="F11" s="56">
        <v>9.8999999999999994E-5</v>
      </c>
      <c r="G11" s="56">
        <v>8.8000000000000007</v>
      </c>
      <c r="H11" s="56">
        <v>10.3</v>
      </c>
      <c r="J11" s="160" t="s">
        <v>85</v>
      </c>
      <c r="K11" s="259">
        <v>0.25</v>
      </c>
      <c r="L11" s="48">
        <v>1.7999999999999999E-11</v>
      </c>
      <c r="M11" s="59">
        <v>3.1000000000000001E-5</v>
      </c>
      <c r="N11" s="56">
        <v>2.7E-4</v>
      </c>
      <c r="O11" s="56">
        <v>1.9000000000000001E-5</v>
      </c>
      <c r="P11" s="56">
        <v>3.8</v>
      </c>
      <c r="Q11" s="56">
        <v>3.9</v>
      </c>
      <c r="S11" s="160" t="s">
        <v>85</v>
      </c>
      <c r="T11" s="259">
        <v>0.62</v>
      </c>
      <c r="U11" s="48">
        <v>3.0699999999999999E-9</v>
      </c>
      <c r="V11" s="59">
        <v>7.6000000000000004E-5</v>
      </c>
      <c r="W11" s="56">
        <v>1.0300000000000001E-3</v>
      </c>
      <c r="X11" s="56">
        <v>9.8999999999999994E-5</v>
      </c>
      <c r="Y11" s="56">
        <v>8.8000000000000007</v>
      </c>
      <c r="Z11" s="56">
        <v>10.3</v>
      </c>
      <c r="AB11" s="160" t="s">
        <v>85</v>
      </c>
      <c r="AC11" s="259">
        <v>0.25</v>
      </c>
      <c r="AD11" s="48">
        <v>1.7999999999999999E-11</v>
      </c>
      <c r="AE11" s="59">
        <v>3.1000000000000001E-5</v>
      </c>
      <c r="AF11" s="56">
        <v>2.7E-4</v>
      </c>
      <c r="AG11" s="56">
        <v>1.9000000000000001E-5</v>
      </c>
      <c r="AH11" s="56">
        <v>3.8</v>
      </c>
      <c r="AI11" s="56">
        <v>3.9</v>
      </c>
    </row>
    <row r="12" spans="1:35" ht="16" x14ac:dyDescent="0.2">
      <c r="A12" s="253" t="s">
        <v>86</v>
      </c>
      <c r="B12" s="259">
        <v>0.62</v>
      </c>
      <c r="C12" s="48">
        <v>3.0699999999999999E-9</v>
      </c>
      <c r="D12" s="59">
        <v>7.6000000000000004E-5</v>
      </c>
      <c r="E12" s="56">
        <v>1.0300000000000001E-3</v>
      </c>
      <c r="F12" s="56">
        <v>9.8999999999999994E-5</v>
      </c>
      <c r="G12" s="56">
        <v>8.8000000000000007</v>
      </c>
      <c r="H12" s="56">
        <v>10.3</v>
      </c>
      <c r="J12" s="160" t="s">
        <v>86</v>
      </c>
      <c r="K12" s="259">
        <v>0.25</v>
      </c>
      <c r="L12" s="48">
        <v>1.7999999999999999E-11</v>
      </c>
      <c r="M12" s="59">
        <v>3.1000000000000001E-5</v>
      </c>
      <c r="N12" s="56">
        <v>2.7E-4</v>
      </c>
      <c r="O12" s="56">
        <v>1.9000000000000001E-5</v>
      </c>
      <c r="P12" s="56">
        <v>3.8</v>
      </c>
      <c r="Q12" s="56">
        <v>3.9</v>
      </c>
      <c r="S12" s="160" t="s">
        <v>86</v>
      </c>
      <c r="T12" s="259">
        <v>0.62</v>
      </c>
      <c r="U12" s="48">
        <v>3.0699999999999999E-9</v>
      </c>
      <c r="V12" s="59">
        <v>7.6000000000000004E-5</v>
      </c>
      <c r="W12" s="56">
        <v>1.0300000000000001E-3</v>
      </c>
      <c r="X12" s="56">
        <v>9.8999999999999994E-5</v>
      </c>
      <c r="Y12" s="56">
        <v>8.8000000000000007</v>
      </c>
      <c r="Z12" s="56">
        <v>10.3</v>
      </c>
      <c r="AB12" s="160" t="s">
        <v>86</v>
      </c>
      <c r="AC12" s="259">
        <v>0.25</v>
      </c>
      <c r="AD12" s="48">
        <v>1.7999999999999999E-11</v>
      </c>
      <c r="AE12" s="59">
        <v>3.1000000000000001E-5</v>
      </c>
      <c r="AF12" s="56">
        <v>2.7E-4</v>
      </c>
      <c r="AG12" s="56">
        <v>1.9000000000000001E-5</v>
      </c>
      <c r="AH12" s="56">
        <v>3.8</v>
      </c>
      <c r="AI12" s="56">
        <v>3.9</v>
      </c>
    </row>
    <row r="13" spans="1:35" ht="16" x14ac:dyDescent="0.2">
      <c r="A13" s="253" t="s">
        <v>87</v>
      </c>
      <c r="B13" s="259">
        <v>0.62</v>
      </c>
      <c r="C13" s="48">
        <v>3.0699999999999999E-9</v>
      </c>
      <c r="D13" s="59">
        <v>7.6000000000000004E-5</v>
      </c>
      <c r="E13" s="56">
        <v>1.0300000000000001E-3</v>
      </c>
      <c r="F13" s="56">
        <v>9.8999999999999994E-5</v>
      </c>
      <c r="G13" s="56">
        <v>8.8000000000000007</v>
      </c>
      <c r="H13" s="56">
        <v>10.3</v>
      </c>
      <c r="J13" s="160" t="s">
        <v>87</v>
      </c>
      <c r="K13" s="259">
        <v>0.25</v>
      </c>
      <c r="L13" s="48">
        <v>1.7999999999999999E-11</v>
      </c>
      <c r="M13" s="59">
        <v>3.1000000000000001E-5</v>
      </c>
      <c r="N13" s="56">
        <v>2.7E-4</v>
      </c>
      <c r="O13" s="56">
        <v>1.9000000000000001E-5</v>
      </c>
      <c r="P13" s="56">
        <v>3.8</v>
      </c>
      <c r="Q13" s="56">
        <v>3.9</v>
      </c>
      <c r="S13" s="160" t="s">
        <v>87</v>
      </c>
      <c r="T13" s="259">
        <v>0.62</v>
      </c>
      <c r="U13" s="48">
        <v>3.0699999999999999E-9</v>
      </c>
      <c r="V13" s="59">
        <v>7.6000000000000004E-5</v>
      </c>
      <c r="W13" s="56">
        <v>1.0300000000000001E-3</v>
      </c>
      <c r="X13" s="56">
        <v>9.8999999999999994E-5</v>
      </c>
      <c r="Y13" s="56">
        <v>8.8000000000000007</v>
      </c>
      <c r="Z13" s="56">
        <v>10.3</v>
      </c>
      <c r="AB13" s="160" t="s">
        <v>87</v>
      </c>
      <c r="AC13" s="259">
        <v>0.25</v>
      </c>
      <c r="AD13" s="48">
        <v>1.7999999999999999E-11</v>
      </c>
      <c r="AE13" s="59">
        <v>3.1000000000000001E-5</v>
      </c>
      <c r="AF13" s="56">
        <v>3.1E-4</v>
      </c>
      <c r="AG13" s="56">
        <v>1.9000000000000001E-5</v>
      </c>
      <c r="AH13" s="56">
        <v>3.8</v>
      </c>
      <c r="AI13" s="56">
        <v>3.9</v>
      </c>
    </row>
    <row r="14" spans="1:35" ht="16" x14ac:dyDescent="0.2">
      <c r="A14" s="253" t="s">
        <v>88</v>
      </c>
      <c r="B14" s="259">
        <v>0.62</v>
      </c>
      <c r="C14" s="48">
        <v>3.0699999999999999E-9</v>
      </c>
      <c r="D14" s="59">
        <v>7.6199999999999995E-5</v>
      </c>
      <c r="E14" s="56">
        <v>1.0300000000000001E-3</v>
      </c>
      <c r="F14" s="56">
        <v>9.9199999999999999E-5</v>
      </c>
      <c r="G14" s="56">
        <v>8.7799999999999994</v>
      </c>
      <c r="H14" s="56">
        <v>10.26</v>
      </c>
      <c r="J14" s="160" t="s">
        <v>88</v>
      </c>
      <c r="K14" s="259">
        <v>0.28999999999999998</v>
      </c>
      <c r="L14" s="48">
        <v>3.7999999999999998E-11</v>
      </c>
      <c r="M14" s="59">
        <v>3.9499999999999998E-5</v>
      </c>
      <c r="N14" s="56">
        <v>3.9199999999999999E-4</v>
      </c>
      <c r="O14" s="56">
        <v>2.4300000000000001E-5</v>
      </c>
      <c r="P14" s="56">
        <v>4.3600000000000003</v>
      </c>
      <c r="Q14" s="56">
        <v>4.3899999999999997</v>
      </c>
      <c r="S14" s="160" t="s">
        <v>88</v>
      </c>
      <c r="T14" s="259">
        <v>0.62</v>
      </c>
      <c r="U14" s="48">
        <v>3.0699999999999999E-9</v>
      </c>
      <c r="V14" s="59">
        <v>7.6199999999999995E-5</v>
      </c>
      <c r="W14" s="56">
        <v>1.0300000000000001E-3</v>
      </c>
      <c r="X14" s="56">
        <v>9.9199999999999999E-5</v>
      </c>
      <c r="Y14" s="56">
        <v>8.7799999999999994</v>
      </c>
      <c r="Z14" s="56">
        <v>10.26</v>
      </c>
      <c r="AB14" s="160" t="s">
        <v>88</v>
      </c>
      <c r="AC14" s="259">
        <v>0.28999999999999998</v>
      </c>
      <c r="AD14" s="48">
        <v>3.7999999999999998E-11</v>
      </c>
      <c r="AE14" s="59">
        <v>3.9499999999999998E-5</v>
      </c>
      <c r="AF14" s="56">
        <v>3.9199999999999999E-4</v>
      </c>
      <c r="AG14" s="56">
        <v>2.4300000000000001E-5</v>
      </c>
      <c r="AH14" s="56">
        <v>4.3600000000000003</v>
      </c>
      <c r="AI14" s="56">
        <v>4.3899999999999997</v>
      </c>
    </row>
    <row r="15" spans="1:35" ht="16" x14ac:dyDescent="0.2">
      <c r="A15" s="253" t="s">
        <v>89</v>
      </c>
      <c r="B15" s="259">
        <v>0.62</v>
      </c>
      <c r="C15" s="48">
        <v>3.0699999999999999E-9</v>
      </c>
      <c r="D15" s="59">
        <v>7.6199999999999995E-5</v>
      </c>
      <c r="E15" s="56">
        <v>1.0300000000000001E-3</v>
      </c>
      <c r="F15" s="56">
        <v>9.9199999999999999E-5</v>
      </c>
      <c r="G15" s="56">
        <v>8.7799999999999994</v>
      </c>
      <c r="H15" s="56">
        <v>10.26</v>
      </c>
      <c r="J15" s="160" t="s">
        <v>89</v>
      </c>
      <c r="K15" s="259">
        <v>0.28999999999999998</v>
      </c>
      <c r="L15" s="48">
        <v>3.7999999999999998E-11</v>
      </c>
      <c r="M15" s="59">
        <v>3.9499999999999998E-5</v>
      </c>
      <c r="N15" s="56">
        <v>3.9199999999999999E-4</v>
      </c>
      <c r="O15" s="56">
        <v>2.4300000000000001E-5</v>
      </c>
      <c r="P15" s="56">
        <v>4.3600000000000003</v>
      </c>
      <c r="Q15" s="56">
        <v>4.3899999999999997</v>
      </c>
      <c r="S15" s="160" t="s">
        <v>89</v>
      </c>
      <c r="T15" s="259">
        <v>0.62</v>
      </c>
      <c r="U15" s="48">
        <v>3.0699999999999999E-9</v>
      </c>
      <c r="V15" s="59">
        <v>7.6199999999999995E-5</v>
      </c>
      <c r="W15" s="56">
        <v>1.0300000000000001E-3</v>
      </c>
      <c r="X15" s="56">
        <v>9.9199999999999999E-5</v>
      </c>
      <c r="Y15" s="56">
        <v>8.7799999999999994</v>
      </c>
      <c r="Z15" s="56">
        <v>10.26</v>
      </c>
      <c r="AB15" s="160" t="s">
        <v>89</v>
      </c>
      <c r="AC15" s="259">
        <v>0.28999999999999998</v>
      </c>
      <c r="AD15" s="48">
        <v>3.7999999999999998E-11</v>
      </c>
      <c r="AE15" s="59">
        <v>3.9499999999999998E-5</v>
      </c>
      <c r="AF15" s="56">
        <v>3.9199999999999999E-4</v>
      </c>
      <c r="AG15" s="56">
        <v>2.4300000000000001E-5</v>
      </c>
      <c r="AH15" s="56">
        <v>4.3600000000000003</v>
      </c>
      <c r="AI15" s="56">
        <v>4.3899999999999997</v>
      </c>
    </row>
    <row r="16" spans="1:35" ht="16" x14ac:dyDescent="0.2">
      <c r="A16" s="253" t="s">
        <v>90</v>
      </c>
      <c r="B16" s="259">
        <v>0.62</v>
      </c>
      <c r="C16" s="48">
        <v>3.0699999999999999E-9</v>
      </c>
      <c r="D16" s="59">
        <v>7.6199999999999995E-5</v>
      </c>
      <c r="E16" s="56">
        <v>1.0300000000000001E-3</v>
      </c>
      <c r="F16" s="56">
        <v>9.9199999999999999E-5</v>
      </c>
      <c r="G16" s="56">
        <v>8.7799999999999994</v>
      </c>
      <c r="H16" s="56">
        <v>10.26</v>
      </c>
      <c r="J16" s="160" t="s">
        <v>90</v>
      </c>
      <c r="K16" s="259">
        <v>0.28999999999999998</v>
      </c>
      <c r="L16" s="48">
        <v>3.7999999999999998E-11</v>
      </c>
      <c r="M16" s="59">
        <v>3.9499999999999998E-5</v>
      </c>
      <c r="N16" s="56">
        <v>3.9199999999999999E-4</v>
      </c>
      <c r="O16" s="56">
        <v>2.4300000000000001E-5</v>
      </c>
      <c r="P16" s="56">
        <v>4.3600000000000003</v>
      </c>
      <c r="Q16" s="56">
        <v>4.3899999999999997</v>
      </c>
      <c r="S16" s="160" t="s">
        <v>90</v>
      </c>
      <c r="T16" s="259">
        <v>0.62</v>
      </c>
      <c r="U16" s="48">
        <v>3.0699999999999999E-9</v>
      </c>
      <c r="V16" s="59">
        <v>7.6199999999999995E-5</v>
      </c>
      <c r="W16" s="56">
        <v>1.0300000000000001E-3</v>
      </c>
      <c r="X16" s="56">
        <v>9.9199999999999999E-5</v>
      </c>
      <c r="Y16" s="56">
        <v>8.7799999999999994</v>
      </c>
      <c r="Z16" s="56">
        <v>10.26</v>
      </c>
      <c r="AB16" s="160" t="s">
        <v>90</v>
      </c>
      <c r="AC16" s="259">
        <v>0.28999999999999998</v>
      </c>
      <c r="AD16" s="48">
        <v>3.7999999999999998E-11</v>
      </c>
      <c r="AE16" s="59">
        <v>3.9499999999999998E-5</v>
      </c>
      <c r="AF16" s="56">
        <v>3.9199999999999999E-4</v>
      </c>
      <c r="AG16" s="56">
        <v>2.4300000000000001E-5</v>
      </c>
      <c r="AH16" s="56">
        <v>4.3600000000000003</v>
      </c>
      <c r="AI16" s="56">
        <v>4.3899999999999997</v>
      </c>
    </row>
    <row r="17" spans="1:35" ht="16" x14ac:dyDescent="0.2">
      <c r="A17" s="253" t="s">
        <v>72</v>
      </c>
      <c r="B17" s="259">
        <v>0.62</v>
      </c>
      <c r="C17" s="48">
        <v>3.0699999999999999E-9</v>
      </c>
      <c r="D17" s="59">
        <v>7.6000000000000004E-5</v>
      </c>
      <c r="E17" s="56">
        <v>1.0300000000000001E-3</v>
      </c>
      <c r="F17" s="56">
        <v>9.8999999999999994E-5</v>
      </c>
      <c r="G17" s="56">
        <v>8.8000000000000007</v>
      </c>
      <c r="H17" s="56">
        <v>10.3</v>
      </c>
      <c r="J17" s="160" t="s">
        <v>72</v>
      </c>
      <c r="K17" s="259">
        <v>0.25</v>
      </c>
      <c r="L17" s="48">
        <v>1.7999999999999999E-11</v>
      </c>
      <c r="M17" s="59">
        <v>3.1000000000000001E-5</v>
      </c>
      <c r="N17" s="56">
        <v>2.7E-4</v>
      </c>
      <c r="O17" s="56">
        <v>1.9000000000000001E-5</v>
      </c>
      <c r="P17" s="56">
        <v>3.8</v>
      </c>
      <c r="Q17" s="56">
        <v>3.9</v>
      </c>
      <c r="S17" s="160" t="s">
        <v>72</v>
      </c>
      <c r="T17" s="259">
        <v>0</v>
      </c>
      <c r="U17" s="48">
        <v>0</v>
      </c>
      <c r="V17" s="59">
        <v>0</v>
      </c>
      <c r="W17" s="56">
        <v>0</v>
      </c>
      <c r="X17" s="56">
        <v>0</v>
      </c>
      <c r="Y17" s="56">
        <v>0</v>
      </c>
      <c r="Z17" s="56">
        <v>0</v>
      </c>
      <c r="AB17" s="160" t="s">
        <v>72</v>
      </c>
      <c r="AC17" s="259">
        <v>0</v>
      </c>
      <c r="AD17" s="48">
        <v>0</v>
      </c>
      <c r="AE17" s="59">
        <v>0</v>
      </c>
      <c r="AF17" s="56">
        <v>0</v>
      </c>
      <c r="AG17" s="56">
        <v>0</v>
      </c>
      <c r="AH17" s="56">
        <v>0</v>
      </c>
      <c r="AI17" s="56">
        <v>0</v>
      </c>
    </row>
    <row r="18" spans="1:35" ht="16" x14ac:dyDescent="0.2">
      <c r="A18" s="253" t="s">
        <v>73</v>
      </c>
      <c r="B18" s="259">
        <v>0.62</v>
      </c>
      <c r="C18" s="48">
        <v>3.0699999999999999E-9</v>
      </c>
      <c r="D18" s="59">
        <v>7.6000000000000004E-5</v>
      </c>
      <c r="E18" s="56">
        <v>1.0300000000000001E-3</v>
      </c>
      <c r="F18" s="56">
        <v>9.8999999999999994E-5</v>
      </c>
      <c r="G18" s="56">
        <v>8.8000000000000007</v>
      </c>
      <c r="H18" s="56">
        <v>10.3</v>
      </c>
      <c r="J18" s="160" t="s">
        <v>73</v>
      </c>
      <c r="K18" s="259">
        <v>0.25</v>
      </c>
      <c r="L18" s="48">
        <v>1.7999999999999999E-11</v>
      </c>
      <c r="M18" s="59">
        <v>3.1000000000000001E-5</v>
      </c>
      <c r="N18" s="56">
        <v>2.7E-4</v>
      </c>
      <c r="O18" s="56">
        <v>1.9000000000000001E-5</v>
      </c>
      <c r="P18" s="56">
        <v>3.8</v>
      </c>
      <c r="Q18" s="56">
        <v>3.9</v>
      </c>
      <c r="S18" s="160" t="s">
        <v>73</v>
      </c>
      <c r="T18" s="259">
        <v>0</v>
      </c>
      <c r="U18" s="48">
        <v>0</v>
      </c>
      <c r="V18" s="59">
        <v>0</v>
      </c>
      <c r="W18" s="56">
        <v>0</v>
      </c>
      <c r="X18" s="56">
        <v>0</v>
      </c>
      <c r="Y18" s="56">
        <v>0</v>
      </c>
      <c r="Z18" s="56">
        <v>0</v>
      </c>
      <c r="AB18" s="160" t="s">
        <v>73</v>
      </c>
      <c r="AC18" s="259">
        <v>0</v>
      </c>
      <c r="AD18" s="48">
        <v>0</v>
      </c>
      <c r="AE18" s="59">
        <v>0</v>
      </c>
      <c r="AF18" s="56">
        <v>0</v>
      </c>
      <c r="AG18" s="56">
        <v>0</v>
      </c>
      <c r="AH18" s="56">
        <v>0</v>
      </c>
      <c r="AI18" s="56">
        <v>0</v>
      </c>
    </row>
    <row r="19" spans="1:35" ht="16" x14ac:dyDescent="0.2">
      <c r="A19" s="253" t="s">
        <v>75</v>
      </c>
      <c r="B19" s="259">
        <v>0.62</v>
      </c>
      <c r="C19" s="48">
        <v>3.0699999999999999E-9</v>
      </c>
      <c r="D19" s="59">
        <v>7.6199999999999995E-5</v>
      </c>
      <c r="E19" s="56">
        <v>1.0300000000000001E-3</v>
      </c>
      <c r="F19" s="56">
        <v>9.9199999999999999E-5</v>
      </c>
      <c r="G19" s="56">
        <v>8.7799999999999994</v>
      </c>
      <c r="H19" s="56">
        <v>10.26</v>
      </c>
      <c r="J19" s="160" t="s">
        <v>75</v>
      </c>
      <c r="K19" s="259">
        <v>0.28999999999999998</v>
      </c>
      <c r="L19" s="48">
        <v>3.7999999999999998E-11</v>
      </c>
      <c r="M19" s="59">
        <v>3.9499999999999998E-5</v>
      </c>
      <c r="N19" s="56">
        <v>3.9199999999999999E-4</v>
      </c>
      <c r="O19" s="56">
        <v>2.4300000000000001E-5</v>
      </c>
      <c r="P19" s="56">
        <v>4.3600000000000003</v>
      </c>
      <c r="Q19" s="56">
        <v>4.3899999999999997</v>
      </c>
      <c r="S19" s="160" t="s">
        <v>75</v>
      </c>
      <c r="T19" s="259">
        <v>0</v>
      </c>
      <c r="U19" s="48">
        <v>0</v>
      </c>
      <c r="V19" s="59">
        <v>0</v>
      </c>
      <c r="W19" s="56">
        <v>0</v>
      </c>
      <c r="X19" s="56">
        <v>0</v>
      </c>
      <c r="Y19" s="56">
        <v>0</v>
      </c>
      <c r="Z19" s="56">
        <v>0</v>
      </c>
      <c r="AB19" s="160" t="s">
        <v>75</v>
      </c>
      <c r="AC19" s="259">
        <v>0</v>
      </c>
      <c r="AD19" s="48">
        <v>0</v>
      </c>
      <c r="AE19" s="59">
        <v>0</v>
      </c>
      <c r="AF19" s="56">
        <v>0</v>
      </c>
      <c r="AG19" s="56">
        <v>0</v>
      </c>
      <c r="AH19" s="56">
        <v>0</v>
      </c>
      <c r="AI19" s="56">
        <v>0</v>
      </c>
    </row>
    <row r="20" spans="1:35" ht="16" x14ac:dyDescent="0.2">
      <c r="A20" s="253" t="s">
        <v>77</v>
      </c>
      <c r="B20" s="259">
        <v>0.62</v>
      </c>
      <c r="C20" s="48">
        <v>3.0699999999999999E-9</v>
      </c>
      <c r="D20" s="59">
        <v>7.6199999999999995E-5</v>
      </c>
      <c r="E20" s="56">
        <v>1.0300000000000001E-3</v>
      </c>
      <c r="F20" s="56">
        <v>9.9199999999999999E-5</v>
      </c>
      <c r="G20" s="56">
        <v>8.7799999999999994</v>
      </c>
      <c r="H20" s="56">
        <v>10.26</v>
      </c>
      <c r="J20" s="160" t="s">
        <v>77</v>
      </c>
      <c r="K20" s="259">
        <v>0.28999999999999998</v>
      </c>
      <c r="L20" s="48">
        <v>3.7999999999999998E-11</v>
      </c>
      <c r="M20" s="59">
        <v>3.9499999999999998E-5</v>
      </c>
      <c r="N20" s="56">
        <v>3.9199999999999999E-4</v>
      </c>
      <c r="O20" s="56">
        <v>2.4300000000000001E-5</v>
      </c>
      <c r="P20" s="56">
        <v>4.3600000000000003</v>
      </c>
      <c r="Q20" s="56">
        <v>4.3899999999999997</v>
      </c>
      <c r="S20" s="160" t="s">
        <v>77</v>
      </c>
      <c r="T20" s="259">
        <v>0</v>
      </c>
      <c r="U20" s="48">
        <v>0</v>
      </c>
      <c r="V20" s="59">
        <v>0</v>
      </c>
      <c r="W20" s="56">
        <v>0</v>
      </c>
      <c r="X20" s="56">
        <v>0</v>
      </c>
      <c r="Y20" s="56">
        <v>0</v>
      </c>
      <c r="Z20" s="56">
        <v>0</v>
      </c>
      <c r="AB20" s="160" t="s">
        <v>77</v>
      </c>
      <c r="AC20" s="259">
        <v>0</v>
      </c>
      <c r="AD20" s="48">
        <v>0</v>
      </c>
      <c r="AE20" s="59">
        <v>0</v>
      </c>
      <c r="AF20" s="56">
        <v>0</v>
      </c>
      <c r="AG20" s="56">
        <v>0</v>
      </c>
      <c r="AH20" s="56">
        <v>0</v>
      </c>
      <c r="AI20" s="56">
        <v>0</v>
      </c>
    </row>
    <row r="21" spans="1:35" ht="16" x14ac:dyDescent="0.2">
      <c r="A21" s="253" t="s">
        <v>91</v>
      </c>
      <c r="B21" s="259">
        <v>0.62</v>
      </c>
      <c r="C21" s="48">
        <v>3.0699999999999999E-9</v>
      </c>
      <c r="D21" s="59">
        <v>7.6199999999999995E-5</v>
      </c>
      <c r="E21" s="56">
        <v>1.0300000000000001E-3</v>
      </c>
      <c r="F21" s="56">
        <v>9.9199999999999999E-5</v>
      </c>
      <c r="G21" s="56">
        <v>8.7799999999999994</v>
      </c>
      <c r="H21" s="56">
        <v>10.26</v>
      </c>
      <c r="J21" s="160" t="s">
        <v>91</v>
      </c>
      <c r="K21" s="259">
        <v>0.28999999999999998</v>
      </c>
      <c r="L21" s="48">
        <v>3.7999999999999998E-11</v>
      </c>
      <c r="M21" s="59">
        <v>3.9499999999999998E-5</v>
      </c>
      <c r="N21" s="56">
        <v>3.9199999999999999E-4</v>
      </c>
      <c r="O21" s="56">
        <v>2.4300000000000001E-5</v>
      </c>
      <c r="P21" s="56">
        <v>4.3600000000000003</v>
      </c>
      <c r="Q21" s="56">
        <v>4.3899999999999997</v>
      </c>
      <c r="S21" s="160" t="s">
        <v>91</v>
      </c>
      <c r="T21" s="259">
        <v>0</v>
      </c>
      <c r="U21" s="48">
        <v>0</v>
      </c>
      <c r="V21" s="59">
        <v>0</v>
      </c>
      <c r="W21" s="56">
        <v>0</v>
      </c>
      <c r="X21" s="56">
        <v>0</v>
      </c>
      <c r="Y21" s="56">
        <v>0</v>
      </c>
      <c r="Z21" s="56">
        <v>0</v>
      </c>
      <c r="AB21" s="160" t="s">
        <v>91</v>
      </c>
      <c r="AC21" s="259">
        <v>0</v>
      </c>
      <c r="AD21" s="48">
        <v>0</v>
      </c>
      <c r="AE21" s="59">
        <v>0</v>
      </c>
      <c r="AF21" s="56">
        <v>0</v>
      </c>
      <c r="AG21" s="56">
        <v>0</v>
      </c>
      <c r="AH21" s="56">
        <v>0</v>
      </c>
      <c r="AI21" s="56">
        <v>0</v>
      </c>
    </row>
    <row r="22" spans="1:35" ht="16" x14ac:dyDescent="0.2">
      <c r="A22" s="253" t="s">
        <v>92</v>
      </c>
      <c r="B22" s="259">
        <v>0.62</v>
      </c>
      <c r="C22" s="48">
        <v>3.0699999999999999E-9</v>
      </c>
      <c r="D22" s="59">
        <v>7.6000000000000004E-5</v>
      </c>
      <c r="E22" s="56">
        <v>1.0300000000000001E-3</v>
      </c>
      <c r="F22" s="56">
        <v>9.8999999999999994E-5</v>
      </c>
      <c r="G22" s="56">
        <v>8.8000000000000007</v>
      </c>
      <c r="H22" s="56">
        <v>10.3</v>
      </c>
      <c r="J22" s="160" t="s">
        <v>92</v>
      </c>
      <c r="K22" s="259">
        <v>0.25</v>
      </c>
      <c r="L22" s="48">
        <v>1.7999999999999999E-11</v>
      </c>
      <c r="M22" s="59">
        <v>3.1000000000000001E-5</v>
      </c>
      <c r="N22" s="56">
        <v>2.7E-4</v>
      </c>
      <c r="O22" s="56">
        <v>1.9000000000000001E-5</v>
      </c>
      <c r="P22" s="56">
        <v>3.8</v>
      </c>
      <c r="Q22" s="56">
        <v>3.9</v>
      </c>
      <c r="S22" s="160" t="s">
        <v>92</v>
      </c>
      <c r="T22" s="259">
        <v>0</v>
      </c>
      <c r="U22" s="48">
        <v>0</v>
      </c>
      <c r="V22" s="59">
        <v>0</v>
      </c>
      <c r="W22" s="56">
        <v>0</v>
      </c>
      <c r="X22" s="56">
        <v>0</v>
      </c>
      <c r="Y22" s="56">
        <v>0</v>
      </c>
      <c r="Z22" s="56">
        <v>0</v>
      </c>
      <c r="AB22" s="160" t="s">
        <v>92</v>
      </c>
      <c r="AC22" s="259">
        <v>0</v>
      </c>
      <c r="AD22" s="48">
        <v>0</v>
      </c>
      <c r="AE22" s="59">
        <v>0</v>
      </c>
      <c r="AF22" s="56">
        <v>0</v>
      </c>
      <c r="AG22" s="56">
        <v>0</v>
      </c>
      <c r="AH22" s="56">
        <v>0</v>
      </c>
      <c r="AI22" s="56">
        <v>0</v>
      </c>
    </row>
    <row r="23" spans="1:35" ht="16" x14ac:dyDescent="0.2">
      <c r="A23" s="253" t="s">
        <v>93</v>
      </c>
      <c r="B23" s="259">
        <v>0.62</v>
      </c>
      <c r="C23" s="48">
        <v>3.0699999999999999E-9</v>
      </c>
      <c r="D23" s="59">
        <v>7.6199999999999995E-5</v>
      </c>
      <c r="E23" s="56">
        <v>1.0300000000000001E-3</v>
      </c>
      <c r="F23" s="56">
        <v>9.9199999999999999E-5</v>
      </c>
      <c r="G23" s="56">
        <v>8.7799999999999994</v>
      </c>
      <c r="H23" s="56">
        <v>10.26</v>
      </c>
      <c r="J23" s="160" t="s">
        <v>93</v>
      </c>
      <c r="K23" s="259">
        <v>0.28999999999999998</v>
      </c>
      <c r="L23" s="48">
        <v>3.7999999999999998E-11</v>
      </c>
      <c r="M23" s="59">
        <v>3.9499999999999998E-5</v>
      </c>
      <c r="N23" s="56">
        <v>3.9199999999999999E-4</v>
      </c>
      <c r="O23" s="56">
        <v>2.4300000000000001E-5</v>
      </c>
      <c r="P23" s="56">
        <v>4.3600000000000003</v>
      </c>
      <c r="Q23" s="56">
        <v>4.3899999999999997</v>
      </c>
      <c r="S23" s="160" t="s">
        <v>93</v>
      </c>
      <c r="T23" s="259">
        <v>0</v>
      </c>
      <c r="U23" s="48">
        <v>0</v>
      </c>
      <c r="V23" s="59">
        <v>0</v>
      </c>
      <c r="W23" s="56">
        <v>0</v>
      </c>
      <c r="X23" s="56">
        <v>0</v>
      </c>
      <c r="Y23" s="56">
        <v>0</v>
      </c>
      <c r="Z23" s="56">
        <v>0</v>
      </c>
      <c r="AB23" s="160" t="s">
        <v>93</v>
      </c>
      <c r="AC23" s="259">
        <v>0</v>
      </c>
      <c r="AD23" s="48">
        <v>0</v>
      </c>
      <c r="AE23" s="59">
        <v>0</v>
      </c>
      <c r="AF23" s="56">
        <v>0</v>
      </c>
      <c r="AG23" s="56">
        <v>0</v>
      </c>
      <c r="AH23" s="56">
        <v>0</v>
      </c>
      <c r="AI23" s="56">
        <v>0</v>
      </c>
    </row>
    <row r="24" spans="1:35" ht="16" x14ac:dyDescent="0.2">
      <c r="A24" s="253" t="s">
        <v>101</v>
      </c>
      <c r="B24" s="259">
        <v>0.62</v>
      </c>
      <c r="C24" s="48">
        <v>3.0699999999999999E-9</v>
      </c>
      <c r="D24" s="59">
        <v>7.6199999999999995E-5</v>
      </c>
      <c r="E24" s="56">
        <v>1.0300000000000001E-3</v>
      </c>
      <c r="F24" s="56">
        <v>9.9199999999999999E-5</v>
      </c>
      <c r="G24" s="56">
        <v>8.8000000000000007</v>
      </c>
      <c r="H24" s="56">
        <v>10.3</v>
      </c>
      <c r="J24" s="161" t="s">
        <v>101</v>
      </c>
      <c r="K24" s="259">
        <v>0.25</v>
      </c>
      <c r="L24" s="48">
        <v>1.7999999999999999E-11</v>
      </c>
      <c r="M24" s="59">
        <v>3.1000000000000001E-5</v>
      </c>
      <c r="N24" s="56">
        <v>2.7E-4</v>
      </c>
      <c r="O24" s="56">
        <v>1.9000000000000001E-5</v>
      </c>
      <c r="P24" s="56">
        <v>3.8</v>
      </c>
      <c r="Q24" s="265">
        <v>3.7</v>
      </c>
      <c r="S24" s="161" t="s">
        <v>101</v>
      </c>
      <c r="T24" s="259">
        <v>0</v>
      </c>
      <c r="U24" s="48">
        <v>0</v>
      </c>
      <c r="V24" s="59">
        <v>0</v>
      </c>
      <c r="W24" s="56">
        <v>0</v>
      </c>
      <c r="X24" s="56">
        <v>0</v>
      </c>
      <c r="Y24" s="56">
        <v>0</v>
      </c>
      <c r="Z24" s="56">
        <v>0</v>
      </c>
      <c r="AB24" s="161" t="s">
        <v>101</v>
      </c>
      <c r="AC24" s="259">
        <v>0</v>
      </c>
      <c r="AD24" s="48">
        <v>0</v>
      </c>
      <c r="AE24" s="59">
        <v>0</v>
      </c>
      <c r="AF24" s="56">
        <v>0</v>
      </c>
      <c r="AG24" s="56">
        <v>0</v>
      </c>
      <c r="AH24" s="56">
        <v>0</v>
      </c>
      <c r="AI24" s="56">
        <v>0</v>
      </c>
    </row>
    <row r="25" spans="1:35" ht="16" x14ac:dyDescent="0.2">
      <c r="A25" s="255" t="s">
        <v>94</v>
      </c>
      <c r="B25" s="257">
        <v>0.57899999999999996</v>
      </c>
      <c r="C25" s="260">
        <v>2.08E-12</v>
      </c>
      <c r="D25" s="58">
        <v>6.0699999999999998E-5</v>
      </c>
      <c r="E25" s="55">
        <v>8.7100000000000003E-4</v>
      </c>
      <c r="F25" s="55">
        <v>1.4200000000000001E-4</v>
      </c>
      <c r="G25" s="55">
        <v>7.3</v>
      </c>
      <c r="H25" s="55">
        <v>11.18</v>
      </c>
      <c r="J25" s="255" t="s">
        <v>94</v>
      </c>
      <c r="K25" s="257">
        <v>0.23100000000000001</v>
      </c>
      <c r="L25" s="260">
        <v>1.5699999999999999E-14</v>
      </c>
      <c r="M25" s="58">
        <v>3.0300000000000001E-5</v>
      </c>
      <c r="N25" s="55">
        <v>2.7E-4</v>
      </c>
      <c r="O25" s="55">
        <v>2.65E-5</v>
      </c>
      <c r="P25" s="55">
        <v>3.44</v>
      </c>
      <c r="Q25" s="55">
        <v>4.13</v>
      </c>
      <c r="S25" s="255" t="s">
        <v>94</v>
      </c>
      <c r="T25" s="257">
        <v>0</v>
      </c>
      <c r="U25" s="260">
        <v>0</v>
      </c>
      <c r="V25" s="58">
        <v>0</v>
      </c>
      <c r="W25" s="55">
        <v>0</v>
      </c>
      <c r="X25" s="55">
        <v>0</v>
      </c>
      <c r="Y25" s="55">
        <v>0</v>
      </c>
      <c r="Z25" s="55">
        <v>0</v>
      </c>
      <c r="AB25" s="255" t="s">
        <v>94</v>
      </c>
      <c r="AC25" s="257">
        <v>0</v>
      </c>
      <c r="AD25" s="260">
        <v>0</v>
      </c>
      <c r="AE25" s="58">
        <v>0</v>
      </c>
      <c r="AF25" s="55">
        <v>0</v>
      </c>
      <c r="AG25" s="55">
        <v>0</v>
      </c>
      <c r="AH25" s="55">
        <v>0</v>
      </c>
      <c r="AI25" s="55">
        <v>0</v>
      </c>
    </row>
    <row r="26" spans="1:35" ht="16" x14ac:dyDescent="0.2">
      <c r="A26" s="256" t="s">
        <v>95</v>
      </c>
      <c r="B26" s="259">
        <v>0.57899999999999996</v>
      </c>
      <c r="C26" s="48">
        <v>2.08E-12</v>
      </c>
      <c r="D26" s="59">
        <v>6.0699999999999998E-5</v>
      </c>
      <c r="E26" s="56">
        <v>8.7100000000000003E-4</v>
      </c>
      <c r="F26" s="56">
        <v>1.4200000000000001E-4</v>
      </c>
      <c r="G26" s="56">
        <v>7.3</v>
      </c>
      <c r="H26" s="56">
        <v>11.18</v>
      </c>
      <c r="J26" s="256" t="s">
        <v>95</v>
      </c>
      <c r="K26" s="259">
        <v>0.23100000000000001</v>
      </c>
      <c r="L26" s="48">
        <v>1.5699999999999999E-14</v>
      </c>
      <c r="M26" s="59">
        <v>3.0300000000000001E-5</v>
      </c>
      <c r="N26" s="56">
        <v>2.7E-4</v>
      </c>
      <c r="O26" s="56">
        <v>2.65E-5</v>
      </c>
      <c r="P26" s="56">
        <v>3.44</v>
      </c>
      <c r="Q26" s="56">
        <v>4.13</v>
      </c>
      <c r="S26" s="256" t="s">
        <v>95</v>
      </c>
      <c r="T26" s="259">
        <v>0</v>
      </c>
      <c r="U26" s="48">
        <v>0</v>
      </c>
      <c r="V26" s="59">
        <v>0</v>
      </c>
      <c r="W26" s="56">
        <v>0</v>
      </c>
      <c r="X26" s="56">
        <v>0</v>
      </c>
      <c r="Y26" s="56">
        <v>0</v>
      </c>
      <c r="Z26" s="56">
        <v>0</v>
      </c>
      <c r="AB26" s="256" t="s">
        <v>95</v>
      </c>
      <c r="AC26" s="259">
        <v>0</v>
      </c>
      <c r="AD26" s="48">
        <v>0</v>
      </c>
      <c r="AE26" s="59">
        <v>0</v>
      </c>
      <c r="AF26" s="56">
        <v>0</v>
      </c>
      <c r="AG26" s="56">
        <v>0</v>
      </c>
      <c r="AH26" s="56">
        <v>0</v>
      </c>
      <c r="AI26" s="56">
        <v>0</v>
      </c>
    </row>
    <row r="27" spans="1:35" ht="16" x14ac:dyDescent="0.2">
      <c r="A27" s="256" t="s">
        <v>96</v>
      </c>
      <c r="B27" s="259">
        <v>0.57899999999999996</v>
      </c>
      <c r="C27" s="48">
        <v>2.08E-12</v>
      </c>
      <c r="D27" s="59">
        <v>6.0699999999999998E-5</v>
      </c>
      <c r="E27" s="56">
        <v>8.7100000000000003E-4</v>
      </c>
      <c r="F27" s="56">
        <v>1.4200000000000001E-4</v>
      </c>
      <c r="G27" s="56">
        <v>7.3</v>
      </c>
      <c r="H27" s="56">
        <v>11.18</v>
      </c>
      <c r="J27" s="256" t="s">
        <v>96</v>
      </c>
      <c r="K27" s="259">
        <v>0.23100000000000001</v>
      </c>
      <c r="L27" s="48">
        <v>1.5699999999999999E-14</v>
      </c>
      <c r="M27" s="59">
        <v>3.0300000000000001E-5</v>
      </c>
      <c r="N27" s="56">
        <v>2.7E-4</v>
      </c>
      <c r="O27" s="56">
        <v>2.65E-5</v>
      </c>
      <c r="P27" s="56">
        <v>3.44</v>
      </c>
      <c r="Q27" s="56">
        <v>4.13</v>
      </c>
      <c r="S27" s="256" t="s">
        <v>96</v>
      </c>
      <c r="T27" s="259">
        <v>0</v>
      </c>
      <c r="U27" s="48">
        <v>0</v>
      </c>
      <c r="V27" s="59">
        <v>0</v>
      </c>
      <c r="W27" s="56">
        <v>0</v>
      </c>
      <c r="X27" s="56">
        <v>0</v>
      </c>
      <c r="Y27" s="56">
        <v>0</v>
      </c>
      <c r="Z27" s="56">
        <v>0</v>
      </c>
      <c r="AB27" s="256" t="s">
        <v>96</v>
      </c>
      <c r="AC27" s="259">
        <v>0</v>
      </c>
      <c r="AD27" s="48">
        <v>0</v>
      </c>
      <c r="AE27" s="59">
        <v>0</v>
      </c>
      <c r="AF27" s="56">
        <v>0</v>
      </c>
      <c r="AG27" s="56">
        <v>0</v>
      </c>
      <c r="AH27" s="56">
        <v>0</v>
      </c>
      <c r="AI27" s="56">
        <v>0</v>
      </c>
    </row>
    <row r="28" spans="1:35" ht="16" x14ac:dyDescent="0.2">
      <c r="A28" s="256" t="s">
        <v>97</v>
      </c>
      <c r="B28" s="259">
        <v>0.57899999999999996</v>
      </c>
      <c r="C28" s="48">
        <v>2.08E-12</v>
      </c>
      <c r="D28" s="59">
        <v>6.0699999999999998E-5</v>
      </c>
      <c r="E28" s="56">
        <v>8.7100000000000003E-4</v>
      </c>
      <c r="F28" s="56">
        <v>1.4200000000000001E-4</v>
      </c>
      <c r="G28" s="56">
        <v>7.3</v>
      </c>
      <c r="H28" s="56">
        <v>11.18</v>
      </c>
      <c r="J28" s="256" t="s">
        <v>97</v>
      </c>
      <c r="K28" s="259">
        <v>0.23100000000000001</v>
      </c>
      <c r="L28" s="48">
        <v>1.5699999999999999E-14</v>
      </c>
      <c r="M28" s="59">
        <v>3.0300000000000001E-5</v>
      </c>
      <c r="N28" s="56">
        <v>2.7E-4</v>
      </c>
      <c r="O28" s="56">
        <v>2.65E-5</v>
      </c>
      <c r="P28" s="56">
        <v>3.44</v>
      </c>
      <c r="Q28" s="56">
        <v>4.13</v>
      </c>
      <c r="S28" s="256" t="s">
        <v>97</v>
      </c>
      <c r="T28" s="259">
        <v>0</v>
      </c>
      <c r="U28" s="48">
        <v>0</v>
      </c>
      <c r="V28" s="59">
        <v>0</v>
      </c>
      <c r="W28" s="56">
        <v>0</v>
      </c>
      <c r="X28" s="56">
        <v>0</v>
      </c>
      <c r="Y28" s="56">
        <v>0</v>
      </c>
      <c r="Z28" s="56">
        <v>0</v>
      </c>
      <c r="AB28" s="256" t="s">
        <v>97</v>
      </c>
      <c r="AC28" s="259">
        <v>0</v>
      </c>
      <c r="AD28" s="48">
        <v>0</v>
      </c>
      <c r="AE28" s="59">
        <v>0</v>
      </c>
      <c r="AF28" s="56">
        <v>0</v>
      </c>
      <c r="AG28" s="56">
        <v>0</v>
      </c>
      <c r="AH28" s="56">
        <v>0</v>
      </c>
      <c r="AI28" s="56">
        <v>0</v>
      </c>
    </row>
    <row r="29" spans="1:35" ht="16" x14ac:dyDescent="0.2">
      <c r="A29" s="256" t="s">
        <v>98</v>
      </c>
      <c r="B29" s="259">
        <v>0.57899999999999996</v>
      </c>
      <c r="C29" s="48">
        <v>2.08E-12</v>
      </c>
      <c r="D29" s="59">
        <v>6.0699999999999998E-5</v>
      </c>
      <c r="E29" s="56">
        <v>8.7100000000000003E-4</v>
      </c>
      <c r="F29" s="56">
        <v>1.4200000000000001E-4</v>
      </c>
      <c r="G29" s="56">
        <v>7.3</v>
      </c>
      <c r="H29" s="56">
        <v>11.18</v>
      </c>
      <c r="J29" s="256" t="s">
        <v>98</v>
      </c>
      <c r="K29" s="259">
        <v>0.23100000000000001</v>
      </c>
      <c r="L29" s="48">
        <v>1.5699999999999999E-14</v>
      </c>
      <c r="M29" s="59">
        <v>3.0300000000000001E-5</v>
      </c>
      <c r="N29" s="56">
        <v>2.7E-4</v>
      </c>
      <c r="O29" s="56">
        <v>2.65E-5</v>
      </c>
      <c r="P29" s="56">
        <v>3.44</v>
      </c>
      <c r="Q29" s="56">
        <v>4.13</v>
      </c>
      <c r="S29" s="256" t="s">
        <v>98</v>
      </c>
      <c r="T29" s="259">
        <v>0.57899999999999996</v>
      </c>
      <c r="U29" s="48">
        <v>2.08E-12</v>
      </c>
      <c r="V29" s="59">
        <v>6.0699999999999998E-5</v>
      </c>
      <c r="W29" s="56">
        <v>8.7100000000000003E-4</v>
      </c>
      <c r="X29" s="56">
        <v>1.4200000000000001E-4</v>
      </c>
      <c r="Y29" s="56">
        <v>7.3</v>
      </c>
      <c r="Z29" s="56">
        <v>11.18</v>
      </c>
      <c r="AB29" s="256" t="s">
        <v>98</v>
      </c>
      <c r="AC29" s="259">
        <v>0</v>
      </c>
      <c r="AD29" s="48">
        <v>0</v>
      </c>
      <c r="AE29" s="59">
        <v>0</v>
      </c>
      <c r="AF29" s="56">
        <v>0</v>
      </c>
      <c r="AG29" s="56">
        <v>0</v>
      </c>
      <c r="AH29" s="56">
        <v>0</v>
      </c>
      <c r="AI29" s="56">
        <v>0</v>
      </c>
    </row>
    <row r="30" spans="1:35" ht="16" x14ac:dyDescent="0.2">
      <c r="A30" s="256" t="s">
        <v>99</v>
      </c>
      <c r="B30" s="259">
        <v>0.57899999999999996</v>
      </c>
      <c r="C30" s="48">
        <v>2.08E-12</v>
      </c>
      <c r="D30" s="59">
        <v>6.0699999999999998E-5</v>
      </c>
      <c r="E30" s="56">
        <v>8.7100000000000003E-4</v>
      </c>
      <c r="F30" s="56">
        <v>1.4200000000000001E-4</v>
      </c>
      <c r="G30" s="56">
        <v>7.3</v>
      </c>
      <c r="H30" s="56">
        <v>11.18</v>
      </c>
      <c r="J30" s="256" t="s">
        <v>99</v>
      </c>
      <c r="K30" s="259">
        <v>0.23100000000000001</v>
      </c>
      <c r="L30" s="48">
        <v>1.5699999999999999E-14</v>
      </c>
      <c r="M30" s="59">
        <v>3.0300000000000001E-5</v>
      </c>
      <c r="N30" s="56">
        <v>2.7E-4</v>
      </c>
      <c r="O30" s="56">
        <v>2.65E-5</v>
      </c>
      <c r="P30" s="56">
        <v>3.44</v>
      </c>
      <c r="Q30" s="56">
        <v>4.13</v>
      </c>
      <c r="S30" s="256" t="s">
        <v>99</v>
      </c>
      <c r="T30" s="259">
        <v>0.57899999999999996</v>
      </c>
      <c r="U30" s="48">
        <v>2.08E-12</v>
      </c>
      <c r="V30" s="59">
        <v>6.0699999999999998E-5</v>
      </c>
      <c r="W30" s="56">
        <v>8.7100000000000003E-4</v>
      </c>
      <c r="X30" s="56">
        <v>1.4200000000000001E-4</v>
      </c>
      <c r="Y30" s="56">
        <v>7.3</v>
      </c>
      <c r="Z30" s="56">
        <v>11.18</v>
      </c>
      <c r="AB30" s="256" t="s">
        <v>99</v>
      </c>
      <c r="AC30" s="259">
        <v>0</v>
      </c>
      <c r="AD30" s="48">
        <v>0</v>
      </c>
      <c r="AE30" s="59">
        <v>0</v>
      </c>
      <c r="AF30" s="56">
        <v>0</v>
      </c>
      <c r="AG30" s="56">
        <v>0</v>
      </c>
      <c r="AH30" s="56">
        <v>0</v>
      </c>
      <c r="AI30" s="56">
        <v>0</v>
      </c>
    </row>
    <row r="31" spans="1:35" ht="16" x14ac:dyDescent="0.2">
      <c r="A31" s="256" t="s">
        <v>100</v>
      </c>
      <c r="B31" s="259">
        <v>0.57899999999999996</v>
      </c>
      <c r="C31" s="48">
        <v>2.08E-12</v>
      </c>
      <c r="D31" s="59">
        <v>6.0699999999999998E-5</v>
      </c>
      <c r="E31" s="56">
        <v>8.7100000000000003E-4</v>
      </c>
      <c r="F31" s="56">
        <v>1.4200000000000001E-4</v>
      </c>
      <c r="G31" s="56">
        <v>7.3</v>
      </c>
      <c r="H31" s="56">
        <v>11.18</v>
      </c>
      <c r="J31" s="256" t="s">
        <v>100</v>
      </c>
      <c r="K31" s="259">
        <v>0.23100000000000001</v>
      </c>
      <c r="L31" s="48">
        <v>1.5699999999999999E-14</v>
      </c>
      <c r="M31" s="59">
        <v>3.0300000000000001E-5</v>
      </c>
      <c r="N31" s="56">
        <v>2.7E-4</v>
      </c>
      <c r="O31" s="56">
        <v>2.65E-5</v>
      </c>
      <c r="P31" s="56">
        <v>3.44</v>
      </c>
      <c r="Q31" s="56">
        <v>4.13</v>
      </c>
      <c r="S31" s="256" t="s">
        <v>100</v>
      </c>
      <c r="T31" s="259">
        <v>0.57899999999999996</v>
      </c>
      <c r="U31" s="48">
        <v>2.08E-12</v>
      </c>
      <c r="V31" s="59">
        <v>6.0699999999999998E-5</v>
      </c>
      <c r="W31" s="56">
        <v>8.7100000000000003E-4</v>
      </c>
      <c r="X31" s="56">
        <v>1.4200000000000001E-4</v>
      </c>
      <c r="Y31" s="56">
        <v>7.3</v>
      </c>
      <c r="Z31" s="56">
        <v>11.18</v>
      </c>
      <c r="AB31" s="256" t="s">
        <v>100</v>
      </c>
      <c r="AC31" s="259">
        <v>0</v>
      </c>
      <c r="AD31" s="48">
        <v>0</v>
      </c>
      <c r="AE31" s="59">
        <v>0</v>
      </c>
      <c r="AF31" s="56">
        <v>0</v>
      </c>
      <c r="AG31" s="56">
        <v>0</v>
      </c>
      <c r="AH31" s="56">
        <v>0</v>
      </c>
      <c r="AI31" s="56">
        <v>0</v>
      </c>
    </row>
    <row r="32" spans="1:35" ht="16" x14ac:dyDescent="0.2">
      <c r="A32" s="256" t="s">
        <v>79</v>
      </c>
      <c r="B32" s="259">
        <v>0.57899999999999996</v>
      </c>
      <c r="C32" s="48">
        <v>2.08E-12</v>
      </c>
      <c r="D32" s="59">
        <v>6.0699999999999998E-5</v>
      </c>
      <c r="E32" s="56">
        <v>8.7100000000000003E-4</v>
      </c>
      <c r="F32" s="56">
        <v>1.4200000000000001E-4</v>
      </c>
      <c r="G32" s="56">
        <v>7.3</v>
      </c>
      <c r="H32" s="56">
        <v>11.18</v>
      </c>
      <c r="J32" s="256" t="s">
        <v>79</v>
      </c>
      <c r="K32" s="259">
        <v>0.23100000000000001</v>
      </c>
      <c r="L32" s="48">
        <v>1.5699999999999999E-14</v>
      </c>
      <c r="M32" s="59">
        <v>3.0300000000000001E-5</v>
      </c>
      <c r="N32" s="56">
        <v>2.7E-4</v>
      </c>
      <c r="O32" s="56">
        <v>2.65E-5</v>
      </c>
      <c r="P32" s="56">
        <v>3.44</v>
      </c>
      <c r="Q32" s="56">
        <v>4.13</v>
      </c>
      <c r="S32" s="256" t="s">
        <v>79</v>
      </c>
      <c r="T32" s="259">
        <v>0</v>
      </c>
      <c r="U32" s="48">
        <v>0</v>
      </c>
      <c r="V32" s="59">
        <v>0</v>
      </c>
      <c r="W32" s="56">
        <v>0</v>
      </c>
      <c r="X32" s="56">
        <v>0</v>
      </c>
      <c r="Y32" s="56">
        <v>0</v>
      </c>
      <c r="Z32" s="56">
        <v>0</v>
      </c>
      <c r="AB32" s="256" t="s">
        <v>79</v>
      </c>
      <c r="AC32" s="259">
        <v>0</v>
      </c>
      <c r="AD32" s="48">
        <v>0</v>
      </c>
      <c r="AE32" s="59">
        <v>0</v>
      </c>
      <c r="AF32" s="56">
        <v>0</v>
      </c>
      <c r="AG32" s="56">
        <v>0</v>
      </c>
      <c r="AH32" s="56">
        <v>0</v>
      </c>
      <c r="AI32" s="56">
        <v>0</v>
      </c>
    </row>
    <row r="33" spans="1:35" ht="16" x14ac:dyDescent="0.2">
      <c r="A33" s="256" t="s">
        <v>81</v>
      </c>
      <c r="B33" s="259">
        <v>0.57899999999999996</v>
      </c>
      <c r="C33" s="48">
        <v>2.08E-12</v>
      </c>
      <c r="D33" s="59">
        <v>6.0699999999999998E-5</v>
      </c>
      <c r="E33" s="56">
        <v>8.7100000000000003E-4</v>
      </c>
      <c r="F33" s="56">
        <v>1.4200000000000001E-4</v>
      </c>
      <c r="G33" s="56">
        <v>7.3</v>
      </c>
      <c r="H33" s="56">
        <v>11.18</v>
      </c>
      <c r="J33" s="256" t="s">
        <v>81</v>
      </c>
      <c r="K33" s="259">
        <v>0.23100000000000001</v>
      </c>
      <c r="L33" s="48">
        <v>1.5699999999999999E-14</v>
      </c>
      <c r="M33" s="59">
        <v>3.0300000000000001E-5</v>
      </c>
      <c r="N33" s="56">
        <v>2.7E-4</v>
      </c>
      <c r="O33" s="56">
        <v>2.65E-5</v>
      </c>
      <c r="P33" s="56">
        <v>3.44</v>
      </c>
      <c r="Q33" s="56">
        <v>4.13</v>
      </c>
      <c r="S33" s="256" t="s">
        <v>81</v>
      </c>
      <c r="T33" s="259">
        <v>0</v>
      </c>
      <c r="U33" s="48">
        <v>0</v>
      </c>
      <c r="V33" s="59">
        <v>0</v>
      </c>
      <c r="W33" s="56">
        <v>0</v>
      </c>
      <c r="X33" s="56">
        <v>0</v>
      </c>
      <c r="Y33" s="56">
        <v>0</v>
      </c>
      <c r="Z33" s="56">
        <v>0</v>
      </c>
      <c r="AB33" s="256" t="s">
        <v>81</v>
      </c>
      <c r="AC33" s="259">
        <v>0</v>
      </c>
      <c r="AD33" s="48">
        <v>0</v>
      </c>
      <c r="AE33" s="59">
        <v>0</v>
      </c>
      <c r="AF33" s="56">
        <v>0</v>
      </c>
      <c r="AG33" s="56">
        <v>0</v>
      </c>
      <c r="AH33" s="56">
        <v>0</v>
      </c>
      <c r="AI33" s="56">
        <v>0</v>
      </c>
    </row>
    <row r="34" spans="1:35" ht="16" x14ac:dyDescent="0.2">
      <c r="A34" s="261" t="s">
        <v>171</v>
      </c>
      <c r="B34" s="262">
        <v>0</v>
      </c>
      <c r="C34" s="263">
        <v>0</v>
      </c>
      <c r="D34" s="232">
        <v>0</v>
      </c>
      <c r="E34" s="264">
        <v>0</v>
      </c>
      <c r="F34" s="264">
        <v>0</v>
      </c>
      <c r="G34" s="264">
        <v>0</v>
      </c>
      <c r="H34" s="264">
        <v>0</v>
      </c>
      <c r="I34" s="46"/>
      <c r="J34" s="261" t="s">
        <v>171</v>
      </c>
      <c r="K34" s="262">
        <v>0</v>
      </c>
      <c r="L34" s="263">
        <v>0</v>
      </c>
      <c r="M34" s="232">
        <v>0</v>
      </c>
      <c r="N34" s="264">
        <v>0</v>
      </c>
      <c r="O34" s="264">
        <v>0</v>
      </c>
      <c r="P34" s="264">
        <v>0</v>
      </c>
      <c r="Q34" s="264">
        <v>0</v>
      </c>
      <c r="S34" s="261" t="s">
        <v>171</v>
      </c>
      <c r="T34" s="262">
        <v>0</v>
      </c>
      <c r="U34" s="263">
        <v>0</v>
      </c>
      <c r="V34" s="232">
        <v>0</v>
      </c>
      <c r="W34" s="264">
        <v>0</v>
      </c>
      <c r="X34" s="264">
        <v>0</v>
      </c>
      <c r="Y34" s="264">
        <v>0</v>
      </c>
      <c r="Z34" s="264">
        <v>0</v>
      </c>
      <c r="AB34" s="261" t="s">
        <v>171</v>
      </c>
      <c r="AC34" s="262">
        <v>0</v>
      </c>
      <c r="AD34" s="263">
        <v>0</v>
      </c>
      <c r="AE34" s="232">
        <v>0</v>
      </c>
      <c r="AF34" s="264">
        <v>0</v>
      </c>
      <c r="AG34" s="264">
        <v>0</v>
      </c>
      <c r="AH34" s="264">
        <v>0</v>
      </c>
      <c r="AI34" s="264">
        <v>0</v>
      </c>
    </row>
    <row r="35" spans="1:35" ht="16" x14ac:dyDescent="0.2">
      <c r="A35" s="256" t="s">
        <v>204</v>
      </c>
      <c r="B35" s="259">
        <v>0.57899999999999996</v>
      </c>
      <c r="C35" s="48">
        <v>2.08E-12</v>
      </c>
      <c r="D35" s="59">
        <v>6.0699999999999998E-5</v>
      </c>
      <c r="E35" s="56">
        <v>8.7100000000000003E-4</v>
      </c>
      <c r="F35" s="56">
        <v>1.4200000000000001E-4</v>
      </c>
      <c r="G35" s="56">
        <v>7.3</v>
      </c>
      <c r="H35" s="56">
        <v>11.18</v>
      </c>
      <c r="J35" s="256" t="s">
        <v>204</v>
      </c>
      <c r="K35" s="259">
        <v>0.23100000000000001</v>
      </c>
      <c r="L35" s="48">
        <v>1.5699999999999999E-14</v>
      </c>
      <c r="M35" s="59">
        <v>3.0300000000000001E-5</v>
      </c>
      <c r="N35" s="56">
        <v>2.7E-4</v>
      </c>
      <c r="O35" s="56">
        <v>2.65E-5</v>
      </c>
      <c r="P35" s="56">
        <v>3.44</v>
      </c>
      <c r="Q35" s="56">
        <v>4.13</v>
      </c>
      <c r="S35" s="256" t="s">
        <v>204</v>
      </c>
      <c r="T35" s="259">
        <v>0.57899999999999996</v>
      </c>
      <c r="U35" s="48">
        <v>2.08E-12</v>
      </c>
      <c r="V35" s="59">
        <v>6.0699999999999998E-5</v>
      </c>
      <c r="W35" s="56">
        <v>8.7100000000000003E-4</v>
      </c>
      <c r="X35" s="56">
        <v>1.4200000000000001E-4</v>
      </c>
      <c r="Y35" s="56">
        <v>7.3</v>
      </c>
      <c r="Z35" s="56">
        <v>11.18</v>
      </c>
      <c r="AB35" s="256" t="s">
        <v>204</v>
      </c>
      <c r="AC35" s="259">
        <v>0</v>
      </c>
      <c r="AD35" s="48">
        <v>0</v>
      </c>
      <c r="AE35" s="59">
        <v>0</v>
      </c>
      <c r="AF35" s="56">
        <v>0</v>
      </c>
      <c r="AG35" s="56">
        <v>0</v>
      </c>
      <c r="AH35" s="56">
        <v>0</v>
      </c>
      <c r="AI35" s="56">
        <v>0</v>
      </c>
    </row>
    <row r="36" spans="1:35" ht="16" x14ac:dyDescent="0.2">
      <c r="A36" s="256" t="s">
        <v>205</v>
      </c>
      <c r="B36" s="259">
        <v>0.57899999999999996</v>
      </c>
      <c r="C36" s="48">
        <v>2.08E-12</v>
      </c>
      <c r="D36" s="59">
        <v>6.0699999999999998E-5</v>
      </c>
      <c r="E36" s="56">
        <v>8.7100000000000003E-4</v>
      </c>
      <c r="F36" s="56">
        <v>1.4200000000000001E-4</v>
      </c>
      <c r="G36" s="56">
        <v>7.3</v>
      </c>
      <c r="H36" s="56">
        <v>11.18</v>
      </c>
      <c r="J36" s="256" t="s">
        <v>205</v>
      </c>
      <c r="K36" s="259">
        <v>0.23100000000000001</v>
      </c>
      <c r="L36" s="48">
        <v>1.5699999999999999E-14</v>
      </c>
      <c r="M36" s="59">
        <v>3.0300000000000001E-5</v>
      </c>
      <c r="N36" s="56">
        <v>2.7E-4</v>
      </c>
      <c r="O36" s="56">
        <v>2.65E-5</v>
      </c>
      <c r="P36" s="56">
        <v>3.44</v>
      </c>
      <c r="Q36" s="56">
        <v>4.13</v>
      </c>
      <c r="S36" s="256" t="s">
        <v>205</v>
      </c>
      <c r="T36" s="259">
        <v>0.57899999999999996</v>
      </c>
      <c r="U36" s="48">
        <v>2.08E-12</v>
      </c>
      <c r="V36" s="59">
        <v>6.0699999999999998E-5</v>
      </c>
      <c r="W36" s="56">
        <v>8.7100000000000003E-4</v>
      </c>
      <c r="X36" s="56">
        <v>1.4200000000000001E-4</v>
      </c>
      <c r="Y36" s="56">
        <v>7.3</v>
      </c>
      <c r="Z36" s="56">
        <v>11.18</v>
      </c>
      <c r="AB36" s="256" t="s">
        <v>205</v>
      </c>
      <c r="AC36" s="259">
        <v>0</v>
      </c>
      <c r="AD36" s="48">
        <v>0</v>
      </c>
      <c r="AE36" s="59">
        <v>0</v>
      </c>
      <c r="AF36" s="56">
        <v>0</v>
      </c>
      <c r="AG36" s="56">
        <v>0</v>
      </c>
      <c r="AH36" s="56">
        <v>0</v>
      </c>
      <c r="AI36" s="56">
        <v>0</v>
      </c>
    </row>
    <row r="37" spans="1:35" ht="16" x14ac:dyDescent="0.2">
      <c r="A37" s="256" t="s">
        <v>193</v>
      </c>
      <c r="B37" s="259">
        <f>IF('DGNB LCA Results'!$P$4=4,VLOOKUP('DGNB LCA Results'!$M$3,Use!$A$2:$H$34,2,FALSE)*'DGNB LCA Results'!$N$3+VLOOKUP('DGNB LCA Results'!$K$3,Use!$A$2:$H$34,2,FALSE)*'DGNB LCA Results'!$L$3+VLOOKUP('DGNB LCA Results'!$I$3,Use!$A$2:$H$34,2,FALSE)*'DGNB LCA Results'!$J$3+VLOOKUP('DGNB LCA Results'!$G$3,Use!$A$2:$H$34,2,FALSE)*'DGNB LCA Results'!$H$3,IF('DGNB LCA Results'!$P$4=3,VLOOKUP('DGNB LCA Results'!$M$3,Use!$A$2:$H$34,2,FALSE)*'DGNB LCA Results'!$N$3+VLOOKUP('DGNB LCA Results'!$K$3,Use!$A$2:$H$34,2,FALSE)*'DGNB LCA Results'!$L$3+VLOOKUP('DGNB LCA Results'!$I$3,Use!$A$2:$H$34,2,FALSE)*'DGNB LCA Results'!$J$3,IF('DGNB LCA Results'!$P$4=2,VLOOKUP('DGNB LCA Results'!$M$3,Use!$A$2:$H$34,2,FALSE)*'DGNB LCA Results'!$N$3+VLOOKUP('DGNB LCA Results'!$K$3,Use!$A$2:$H$34,2,FALSE)*'DGNB LCA Results'!$L$3,IF('DGNB LCA Results'!$P$4=1,VLOOKUP('DGNB LCA Results'!$M$3,Use!$A$2:$H$34,2,FALSE)*'DGNB LCA Results'!$N$3,0))))</f>
        <v>0</v>
      </c>
      <c r="C37" s="48">
        <f>IF('DGNB LCA Results'!$P$4=4,VLOOKUP('DGNB LCA Results'!$M$3,Use!$A$2:$H$34,3,FALSE)*'DGNB LCA Results'!$N$3+VLOOKUP('DGNB LCA Results'!$K$3,Use!$A$2:$H$34,3,FALSE)*'DGNB LCA Results'!$L$3+VLOOKUP('DGNB LCA Results'!$I$3,Use!$A$2:$H$34,3,FALSE)*'DGNB LCA Results'!$J$3+VLOOKUP('DGNB LCA Results'!$G$3,Use!$A$2:$H$34,3,FALSE)*'DGNB LCA Results'!$H$3,IF('DGNB LCA Results'!$P$4=3,VLOOKUP('DGNB LCA Results'!$M$3,Use!$A$2:$H$34,3,FALSE)*'DGNB LCA Results'!$N$3+VLOOKUP('DGNB LCA Results'!$K$3,Use!$A$2:$H$34,3,FALSE)*'DGNB LCA Results'!$L$3+VLOOKUP('DGNB LCA Results'!$I$3,Use!$A$2:$H$34,3,FALSE)*'DGNB LCA Results'!$J$3,IF('DGNB LCA Results'!$P$4=2,VLOOKUP('DGNB LCA Results'!$M$3,Use!$A$2:$H$34,3,FALSE)*'DGNB LCA Results'!$N$3+VLOOKUP('DGNB LCA Results'!$K$3,Use!$A$2:$H$34,3,FALSE)*'DGNB LCA Results'!$L$3,IF('DGNB LCA Results'!$P$4=1,VLOOKUP('DGNB LCA Results'!$M$3,Use!$A$2:$H$34,3,FALSE)*'DGNB LCA Results'!$N$3,0))))</f>
        <v>0</v>
      </c>
      <c r="D37" s="59">
        <f>IF('DGNB LCA Results'!$P$4=4,VLOOKUP('DGNB LCA Results'!$M$3,Use!$A$2:$H$34,4,FALSE)*'DGNB LCA Results'!$N$3+VLOOKUP('DGNB LCA Results'!$K$3,Use!$A$2:$H$34,4,FALSE)*'DGNB LCA Results'!$L$3+VLOOKUP('DGNB LCA Results'!$I$3,Use!$A$2:$H$34,4,FALSE)*'DGNB LCA Results'!$J$3+VLOOKUP('DGNB LCA Results'!$G$3,Use!$A$2:$H$34,4,FALSE)*'DGNB LCA Results'!$H$3,IF('DGNB LCA Results'!$P$4=3,VLOOKUP('DGNB LCA Results'!$M$3,Use!$A$2:$H$34,4,FALSE)*'DGNB LCA Results'!$N$3+VLOOKUP('DGNB LCA Results'!$K$3,Use!$A$2:$H$34,4,FALSE)*'DGNB LCA Results'!$L$3+VLOOKUP('DGNB LCA Results'!$I$3,Use!$A$2:$H$34,4,FALSE)*'DGNB LCA Results'!$J$3,IF('DGNB LCA Results'!$P$4=2,VLOOKUP('DGNB LCA Results'!$M$3,Use!$A$2:$H$34,4,FALSE)*'DGNB LCA Results'!$N$3+VLOOKUP('DGNB LCA Results'!$K$3,Use!$A$2:$H$34,4,FALSE)*'DGNB LCA Results'!$L$3,IF('DGNB LCA Results'!$P$4=1,VLOOKUP('DGNB LCA Results'!$M$3,Use!$A$2:$H$34,4,FALSE)*'DGNB LCA Results'!$N$3,0))))</f>
        <v>0</v>
      </c>
      <c r="E37" s="56">
        <f>IF('DGNB LCA Results'!$P$4=4,VLOOKUP('DGNB LCA Results'!$M$3,Use!$A$2:$H$34,5,FALSE)*'DGNB LCA Results'!$N$3+VLOOKUP('DGNB LCA Results'!$K$3,Use!$A$2:$H$34,5,FALSE)*'DGNB LCA Results'!$L$3+VLOOKUP('DGNB LCA Results'!$I$3,Use!$A$2:$H$34,5,FALSE)*'DGNB LCA Results'!$J$3+VLOOKUP('DGNB LCA Results'!$G$3,Use!$A$2:$H$34,5,FALSE)*'DGNB LCA Results'!$H$3,IF('DGNB LCA Results'!$P$4=3,VLOOKUP('DGNB LCA Results'!$M$3,Use!$A$2:$H$34,5,FALSE)*'DGNB LCA Results'!$N$3+VLOOKUP('DGNB LCA Results'!$K$3,Use!$A$2:$H$34,5,FALSE)*'DGNB LCA Results'!$L$3+VLOOKUP('DGNB LCA Results'!$I$3,Use!$A$2:$H$34,5,FALSE)*'DGNB LCA Results'!$J$3,IF('DGNB LCA Results'!$P$4=2,VLOOKUP('DGNB LCA Results'!$M$3,Use!$A$2:$H$34,5,FALSE)*'DGNB LCA Results'!$N$3+VLOOKUP('DGNB LCA Results'!$K$3,Use!$A$2:$H$34,5,FALSE)*'DGNB LCA Results'!$L$3,IF('DGNB LCA Results'!$P$4=1,VLOOKUP('DGNB LCA Results'!$M$3,Use!$A$2:$H$34,5,FALSE)*'DGNB LCA Results'!$N$3,0))))</f>
        <v>0</v>
      </c>
      <c r="F37" s="56">
        <f>IF('DGNB LCA Results'!$P$4=4,VLOOKUP('DGNB LCA Results'!$M$3,Use!$A$2:$H$34,6,FALSE)*'DGNB LCA Results'!$N$3+VLOOKUP('DGNB LCA Results'!$K$3,Use!$A$2:$H$34,6,FALSE)*'DGNB LCA Results'!$L$3+VLOOKUP('DGNB LCA Results'!$I$3,Use!$A$2:$H$34,6,FALSE)*'DGNB LCA Results'!$J$3+VLOOKUP('DGNB LCA Results'!$G$3,Use!$A$2:$H$34,6,FALSE)*'DGNB LCA Results'!$H$3,IF('DGNB LCA Results'!$P$4=3,VLOOKUP('DGNB LCA Results'!$M$3,Use!$A$2:$H$34,6,FALSE)*'DGNB LCA Results'!$N$3+VLOOKUP('DGNB LCA Results'!$K$3,Use!$A$2:$H$34,6,FALSE)*'DGNB LCA Results'!$L$3+VLOOKUP('DGNB LCA Results'!$I$3,Use!$A$2:$H$34,6,FALSE)*'DGNB LCA Results'!$J$3,IF('DGNB LCA Results'!$P$4=2,VLOOKUP('DGNB LCA Results'!$M$3,Use!$A$2:$H$34,6,FALSE)*'DGNB LCA Results'!$N$3+VLOOKUP('DGNB LCA Results'!$K$3,Use!$A$2:$H$34,6,FALSE)*'DGNB LCA Results'!$L$3,IF('DGNB LCA Results'!$P$4=1,VLOOKUP('DGNB LCA Results'!$M$3,Use!$A$2:$H$34,6,FALSE)*'DGNB LCA Results'!$N$3,0))))</f>
        <v>0</v>
      </c>
      <c r="G37" s="56">
        <f>IF('DGNB LCA Results'!$P$4=4,VLOOKUP('DGNB LCA Results'!$M$3,Use!$A$2:$H$34,7,FALSE)*'DGNB LCA Results'!$N$3+VLOOKUP('DGNB LCA Results'!$K$3,Use!$A$2:$H$34,7,FALSE)*'DGNB LCA Results'!$L$3+VLOOKUP('DGNB LCA Results'!$I$3,Use!$A$2:$H$34,7,FALSE)*'DGNB LCA Results'!$J$3+VLOOKUP('DGNB LCA Results'!$G$3,Use!$A$2:$H$34,7,FALSE)*'DGNB LCA Results'!$H$3,IF('DGNB LCA Results'!$P$4=3,VLOOKUP('DGNB LCA Results'!$M$3,Use!$A$2:$H$34,7,FALSE)*'DGNB LCA Results'!$N$3+VLOOKUP('DGNB LCA Results'!$K$3,Use!$A$2:$H$34,7,FALSE)*'DGNB LCA Results'!$L$3+VLOOKUP('DGNB LCA Results'!$I$3,Use!$A$2:$H$34,7,FALSE)*'DGNB LCA Results'!$J$3,IF('DGNB LCA Results'!$P$4=2,VLOOKUP('DGNB LCA Results'!$M$3,Use!$A$2:$H$34,7,FALSE)*'DGNB LCA Results'!$N$3+VLOOKUP('DGNB LCA Results'!$K$3,Use!$A$2:$H$34,7,FALSE)*'DGNB LCA Results'!$L$3,IF('DGNB LCA Results'!$P$4=1,VLOOKUP('DGNB LCA Results'!$M$3,Use!$A$2:$H$34,7,FALSE)*'DGNB LCA Results'!$N$3,0))))</f>
        <v>0</v>
      </c>
      <c r="H37" s="56">
        <f>IF('DGNB LCA Results'!$P$4=4,VLOOKUP('DGNB LCA Results'!$M$3,Use!$A$2:$H$34,8,FALSE)*'DGNB LCA Results'!$N$3+VLOOKUP('DGNB LCA Results'!$K$3,Use!$A$2:$H$34,8,FALSE)*'DGNB LCA Results'!$L$3+VLOOKUP('DGNB LCA Results'!$I$3,Use!$A$2:$H$34,8,FALSE)*'DGNB LCA Results'!$J$3+VLOOKUP('DGNB LCA Results'!$G$3,Use!$A$2:$H$34,8,FALSE)*'DGNB LCA Results'!$H$3,IF('DGNB LCA Results'!$P$4=3,VLOOKUP('DGNB LCA Results'!$M$3,Use!$A$2:$H$34,8,FALSE)*'DGNB LCA Results'!$N$3+VLOOKUP('DGNB LCA Results'!$K$3,Use!$A$2:$H$34,8,FALSE)*'DGNB LCA Results'!$L$3+VLOOKUP('DGNB LCA Results'!$I$3,Use!$A$2:$H$34,8,FALSE)*'DGNB LCA Results'!$J$3,IF('DGNB LCA Results'!$P$4=2,VLOOKUP('DGNB LCA Results'!$M$3,Use!$A$2:$H$34,8,FALSE)*'DGNB LCA Results'!$N$3+VLOOKUP('DGNB LCA Results'!$K$3,Use!$A$2:$H$34,8,FALSE)*'DGNB LCA Results'!$L$3,IF('DGNB LCA Results'!$P$4=1,VLOOKUP('DGNB LCA Results'!$M$3,Use!$A$2:$H$34,8,FALSE)*'DGNB LCA Results'!$N$3,0))))</f>
        <v>0</v>
      </c>
      <c r="I37" s="46"/>
      <c r="J37" s="256" t="s">
        <v>193</v>
      </c>
      <c r="K37" s="259">
        <f>IF('DGNB LCA Results'!$P$4=4,VLOOKUP('DGNB LCA Results'!$M$3,Use!$J$2:$Q$34,2,FALSE)*'DGNB LCA Results'!$N$3+VLOOKUP('DGNB LCA Results'!$K$3,Use!$J$2:$Q$34,2,FALSE)*'DGNB LCA Results'!$L$3+VLOOKUP('DGNB LCA Results'!$I$3,Use!$J$2:$Q$34,2,FALSE)*'DGNB LCA Results'!$J$3+VLOOKUP('DGNB LCA Results'!$G$3,Use!$J$2:$Q$34,2,FALSE)*'DGNB LCA Results'!$H$3,IF('DGNB LCA Results'!$P$4=3,VLOOKUP('DGNB LCA Results'!$M$3,Use!$J$2:$Q$34,2,FALSE)*'DGNB LCA Results'!$N$3+VLOOKUP('DGNB LCA Results'!$K$3,Use!$J$2:$Q$34,2,FALSE)*'DGNB LCA Results'!$L$3+VLOOKUP('DGNB LCA Results'!$I$3,Use!$J$2:$Q$34,2,FALSE)*'DGNB LCA Results'!$J$3,IF('DGNB LCA Results'!$P$4=2,VLOOKUP('DGNB LCA Results'!$M$3,Use!$J$2:$Q$34,2,FALSE)*'DGNB LCA Results'!$N$3+VLOOKUP('DGNB LCA Results'!$K$3,Use!$J$2:$Q$34,2,FALSE)*'DGNB LCA Results'!$L$3,IF('DGNB LCA Results'!$P$4=1,VLOOKUP('DGNB LCA Results'!$M$3,Use!$J$2:$Q$34,2,FALSE)*'DGNB LCA Results'!$N$3,0))))</f>
        <v>0</v>
      </c>
      <c r="L37" s="48">
        <f>IF('DGNB LCA Results'!$P$4=4,VLOOKUP('DGNB LCA Results'!$M$3,Use!$J$2:$Q$34,3,FALSE)*'DGNB LCA Results'!$N$3+VLOOKUP('DGNB LCA Results'!$K$3,Use!$J$2:$Q$34,3,FALSE)*'DGNB LCA Results'!$L$3+VLOOKUP('DGNB LCA Results'!$I$3,Use!$J$2:$Q$34,3,FALSE)*'DGNB LCA Results'!$J$3+VLOOKUP('DGNB LCA Results'!$G$3,Use!$J$2:$Q$34,3,FALSE)*'DGNB LCA Results'!$H$3,IF('DGNB LCA Results'!$P$4=3,VLOOKUP('DGNB LCA Results'!$M$3,Use!$J$2:$Q$34,3,FALSE)*'DGNB LCA Results'!$N$3+VLOOKUP('DGNB LCA Results'!$K$3,Use!$J$2:$Q$34,3,FALSE)*'DGNB LCA Results'!$L$3+VLOOKUP('DGNB LCA Results'!$I$3,Use!$J$2:$Q$34,3,FALSE)*'DGNB LCA Results'!$J$3,IF('DGNB LCA Results'!$P$4=2,VLOOKUP('DGNB LCA Results'!$M$3,Use!$J$2:$Q$34,3,FALSE)*'DGNB LCA Results'!$N$3+VLOOKUP('DGNB LCA Results'!$K$3,Use!$J$2:$Q$34,3,FALSE)*'DGNB LCA Results'!$L$3,IF('DGNB LCA Results'!$P$4=1,VLOOKUP('DGNB LCA Results'!$M$3,Use!$J$2:$Q$34,3,FALSE)*'DGNB LCA Results'!$N$3,0))))</f>
        <v>0</v>
      </c>
      <c r="M37" s="59">
        <f>IF('DGNB LCA Results'!$P$4=4,VLOOKUP('DGNB LCA Results'!$M$3,Use!$J$2:$Q$34,4,FALSE)*'DGNB LCA Results'!$N$3+VLOOKUP('DGNB LCA Results'!$K$3,Use!$J$2:$Q$34,4,FALSE)*'DGNB LCA Results'!$L$3+VLOOKUP('DGNB LCA Results'!$I$3,Use!$J$2:$Q$34,4,FALSE)*'DGNB LCA Results'!$J$3+VLOOKUP('DGNB LCA Results'!$G$3,Use!$J$2:$Q$34,4,FALSE)*'DGNB LCA Results'!$H$3,IF('DGNB LCA Results'!$P$4=3,VLOOKUP('DGNB LCA Results'!$M$3,Use!$J$2:$Q$34,4,FALSE)*'DGNB LCA Results'!$N$3+VLOOKUP('DGNB LCA Results'!$K$3,Use!$J$2:$Q$34,4,FALSE)*'DGNB LCA Results'!$L$3+VLOOKUP('DGNB LCA Results'!$I$3,Use!$J$2:$Q$34,4,FALSE)*'DGNB LCA Results'!$J$3,IF('DGNB LCA Results'!$P$4=2,VLOOKUP('DGNB LCA Results'!$M$3,Use!$J$2:$Q$34,4,FALSE)*'DGNB LCA Results'!$N$3+VLOOKUP('DGNB LCA Results'!$K$3,Use!$J$2:$Q$34,4,FALSE)*'DGNB LCA Results'!$L$3,IF('DGNB LCA Results'!$P$4=1,VLOOKUP('DGNB LCA Results'!$M$3,Use!$J$2:$Q$34,4,FALSE)*'DGNB LCA Results'!$N$3,0))))</f>
        <v>0</v>
      </c>
      <c r="N37" s="56">
        <f>IF('DGNB LCA Results'!$P$4=4,VLOOKUP('DGNB LCA Results'!$M$3,Use!$J$2:$Q$34,5,FALSE)*'DGNB LCA Results'!$N$3+VLOOKUP('DGNB LCA Results'!$K$3,Use!$J$2:$Q$34,5,FALSE)*'DGNB LCA Results'!$L$3+VLOOKUP('DGNB LCA Results'!$I$3,Use!$J$2:$Q$34,5,FALSE)*'DGNB LCA Results'!$J$3+VLOOKUP('DGNB LCA Results'!$G$3,Use!$J$2:$Q$34,5,FALSE)*'DGNB LCA Results'!$H$3,IF('DGNB LCA Results'!$P$4=3,VLOOKUP('DGNB LCA Results'!$M$3,Use!$J$2:$Q$34,5,FALSE)*'DGNB LCA Results'!$N$3+VLOOKUP('DGNB LCA Results'!$K$3,Use!$J$2:$Q$34,5,FALSE)*'DGNB LCA Results'!$L$3+VLOOKUP('DGNB LCA Results'!$I$3,Use!$J$2:$Q$34,5,FALSE)*'DGNB LCA Results'!$J$3,IF('DGNB LCA Results'!$P$4=2,VLOOKUP('DGNB LCA Results'!$M$3,Use!$J$2:$Q$34,5,FALSE)*'DGNB LCA Results'!$N$3+VLOOKUP('DGNB LCA Results'!$K$3,Use!$J$2:$Q$34,5,FALSE)*'DGNB LCA Results'!$L$3,IF('DGNB LCA Results'!$P$4=1,VLOOKUP('DGNB LCA Results'!$M$3,Use!$J$2:$Q$34,5,FALSE)*'DGNB LCA Results'!$N$3,0))))</f>
        <v>0</v>
      </c>
      <c r="O37" s="56">
        <f>IF('DGNB LCA Results'!$P$4=4,VLOOKUP('DGNB LCA Results'!$M$3,Use!$J$2:$Q$34,6,FALSE)*'DGNB LCA Results'!$N$3+VLOOKUP('DGNB LCA Results'!$K$3,Use!$J$2:$Q$34,6,FALSE)*'DGNB LCA Results'!$L$3+VLOOKUP('DGNB LCA Results'!$I$3,Use!$J$2:$Q$34,6,FALSE)*'DGNB LCA Results'!$J$3+VLOOKUP('DGNB LCA Results'!$G$3,Use!$J$2:$Q$34,6,FALSE)*'DGNB LCA Results'!$H$3,IF('DGNB LCA Results'!$P$4=3,VLOOKUP('DGNB LCA Results'!$M$3,Use!$J$2:$Q$34,6,FALSE)*'DGNB LCA Results'!$N$3+VLOOKUP('DGNB LCA Results'!$K$3,Use!$J$2:$Q$34,6,FALSE)*'DGNB LCA Results'!$L$3+VLOOKUP('DGNB LCA Results'!$I$3,Use!$J$2:$Q$34,6,FALSE)*'DGNB LCA Results'!$J$3,IF('DGNB LCA Results'!$P$4=2,VLOOKUP('DGNB LCA Results'!$M$3,Use!$J$2:$Q$34,6,FALSE)*'DGNB LCA Results'!$N$3+VLOOKUP('DGNB LCA Results'!$K$3,Use!$J$2:$Q$34,6,FALSE)*'DGNB LCA Results'!$L$3,IF('DGNB LCA Results'!$P$4=1,VLOOKUP('DGNB LCA Results'!$M$3,Use!$J$2:$Q$34,6,FALSE)*'DGNB LCA Results'!$N$3,0))))</f>
        <v>0</v>
      </c>
      <c r="P37" s="56">
        <f>IF('DGNB LCA Results'!$P$4=4,VLOOKUP('DGNB LCA Results'!$M$3,Use!$J$2:$Q$34,7,FALSE)*'DGNB LCA Results'!$N$3+VLOOKUP('DGNB LCA Results'!$K$3,Use!$J$2:$Q$34,7,FALSE)*'DGNB LCA Results'!$L$3+VLOOKUP('DGNB LCA Results'!$I$3,Use!$J$2:$Q$34,7,FALSE)*'DGNB LCA Results'!$J$3+VLOOKUP('DGNB LCA Results'!$G$3,Use!$J$2:$Q$34,7,FALSE)*'DGNB LCA Results'!$H$3,IF('DGNB LCA Results'!$P$4=3,VLOOKUP('DGNB LCA Results'!$M$3,Use!$J$2:$Q$34,7,FALSE)*'DGNB LCA Results'!$N$3+VLOOKUP('DGNB LCA Results'!$K$3,Use!$J$2:$Q$34,7,FALSE)*'DGNB LCA Results'!$L$3+VLOOKUP('DGNB LCA Results'!$I$3,Use!$J$2:$Q$34,7,FALSE)*'DGNB LCA Results'!$J$3,IF('DGNB LCA Results'!$P$4=2,VLOOKUP('DGNB LCA Results'!$M$3,Use!$J$2:$Q$34,7,FALSE)*'DGNB LCA Results'!$N$3+VLOOKUP('DGNB LCA Results'!$K$3,Use!$J$2:$Q$34,7,FALSE)*'DGNB LCA Results'!$L$3,IF('DGNB LCA Results'!$P$4=1,VLOOKUP('DGNB LCA Results'!$M$3,Use!$J$2:$Q$34,7,FALSE)*'DGNB LCA Results'!$N$3,0))))</f>
        <v>0</v>
      </c>
      <c r="Q37" s="56">
        <f>IF('DGNB LCA Results'!$P$4=4,VLOOKUP('DGNB LCA Results'!$M$3,Use!$J$2:$Q$34,8,FALSE)*'DGNB LCA Results'!$N$3+VLOOKUP('DGNB LCA Results'!$K$3,Use!$J$2:$Q$34,8,FALSE)*'DGNB LCA Results'!$L$3+VLOOKUP('DGNB LCA Results'!$I$3,Use!$J$2:$Q$34,8,FALSE)*'DGNB LCA Results'!$J$3+VLOOKUP('DGNB LCA Results'!$G$3,Use!$J$2:$Q$34,8,FALSE)*'DGNB LCA Results'!$H$3,IF('DGNB LCA Results'!$P$4=3,VLOOKUP('DGNB LCA Results'!$M$3,Use!$J$2:$Q$34,8,FALSE)*'DGNB LCA Results'!$N$3+VLOOKUP('DGNB LCA Results'!$K$3,Use!$J$2:$Q$34,8,FALSE)*'DGNB LCA Results'!$L$3+VLOOKUP('DGNB LCA Results'!$I$3,Use!$J$2:$Q$34,8,FALSE)*'DGNB LCA Results'!$J$3,IF('DGNB LCA Results'!$P$4=2,VLOOKUP('DGNB LCA Results'!$M$3,Use!$J$2:$Q$34,8,FALSE)*'DGNB LCA Results'!$N$3+VLOOKUP('DGNB LCA Results'!$K$3,Use!$J$2:$Q$34,8,FALSE)*'DGNB LCA Results'!$L$3,IF('DGNB LCA Results'!$P$4=1,VLOOKUP('DGNB LCA Results'!$M$3,Use!$J$2:$Q$34,8,FALSE)*'DGNB LCA Results'!$N$3,0))))</f>
        <v>0</v>
      </c>
      <c r="S37" s="256" t="s">
        <v>193</v>
      </c>
      <c r="T37" s="259">
        <f>IF('DGNB LCA Results'!$P$4=4,VLOOKUP('DGNB LCA Results'!$M$3,Use!$S$2:$Z$34,2,FALSE)*'DGNB LCA Results'!$N$3+VLOOKUP('DGNB LCA Results'!$K$3,Use!$S$2:$Z$34,2,FALSE)*'DGNB LCA Results'!$L$3+VLOOKUP('DGNB LCA Results'!$I$3,Use!$S$2:$Z$34,2,FALSE)*'DGNB LCA Results'!$J$3+VLOOKUP('DGNB LCA Results'!$G$3,Use!$S$2:$Z$34,2,FALSE)*'DGNB LCA Results'!$H$3,IF('DGNB LCA Results'!$P$4=3,VLOOKUP('DGNB LCA Results'!$M$3,Use!$S$2:$Z$34,2,FALSE)*'DGNB LCA Results'!$N$3+VLOOKUP('DGNB LCA Results'!$K$3,Use!$S$2:$Z$34,2,FALSE)*'DGNB LCA Results'!$L$3+VLOOKUP('DGNB LCA Results'!$I$3,Use!$S$2:$Z$34,2,FALSE)*'DGNB LCA Results'!$J$3,IF('DGNB LCA Results'!$P$4=2,VLOOKUP('DGNB LCA Results'!$M$3,Use!$S$2:$Z$34,2,FALSE)*'DGNB LCA Results'!$N$3+VLOOKUP('DGNB LCA Results'!$K$3,Use!$S$2:$Z$34,2,FALSE)*'DGNB LCA Results'!$L$3,IF('DGNB LCA Results'!$P$4=1,VLOOKUP('DGNB LCA Results'!$M$3,Use!$S$2:$Z$34,2,FALSE)*'DGNB LCA Results'!$N$3,0))))</f>
        <v>0</v>
      </c>
      <c r="U37" s="48">
        <f>IF('DGNB LCA Results'!$P$4=4,VLOOKUP('DGNB LCA Results'!$M$3,Use!$S$2:$Z$34,3,FALSE)*'DGNB LCA Results'!$N$3+VLOOKUP('DGNB LCA Results'!$K$3,Use!$S$2:$Z$34,3,FALSE)*'DGNB LCA Results'!$L$3+VLOOKUP('DGNB LCA Results'!$I$3,Use!$S$2:$Z$34,3,FALSE)*'DGNB LCA Results'!$J$3+VLOOKUP('DGNB LCA Results'!$G$3,Use!$S$2:$Z$34,3,FALSE)*'DGNB LCA Results'!$H$3,IF('DGNB LCA Results'!$P$4=3,VLOOKUP('DGNB LCA Results'!$M$3,Use!$S$2:$Z$34,3,FALSE)*'DGNB LCA Results'!$N$3+VLOOKUP('DGNB LCA Results'!$K$3,Use!$S$2:$Z$34,3,FALSE)*'DGNB LCA Results'!$L$3+VLOOKUP('DGNB LCA Results'!$I$3,Use!$S$2:$Z$34,3,FALSE)*'DGNB LCA Results'!$J$3,IF('DGNB LCA Results'!$P$4=2,VLOOKUP('DGNB LCA Results'!$M$3,Use!$S$2:$Z$34,3,FALSE)*'DGNB LCA Results'!$N$3+VLOOKUP('DGNB LCA Results'!$K$3,Use!$S$2:$Z$34,3,FALSE)*'DGNB LCA Results'!$L$3,IF('DGNB LCA Results'!$P$4=1,VLOOKUP('DGNB LCA Results'!$M$3,Use!$S$2:$Z$34,3,FALSE)*'DGNB LCA Results'!$N$3,0))))</f>
        <v>0</v>
      </c>
      <c r="V37" s="59">
        <f>IF('DGNB LCA Results'!$P$4=4,VLOOKUP('DGNB LCA Results'!$M$3,Use!$S$2:$Z$34,4,FALSE)*'DGNB LCA Results'!$N$3+VLOOKUP('DGNB LCA Results'!$K$3,Use!$S$2:$Z$34,4,FALSE)*'DGNB LCA Results'!$L$3+VLOOKUP('DGNB LCA Results'!$I$3,Use!$S$2:$Z$34,4,FALSE)*'DGNB LCA Results'!$J$3+VLOOKUP('DGNB LCA Results'!$G$3,Use!$S$2:$Z$34,4,FALSE)*'DGNB LCA Results'!$H$3,IF('DGNB LCA Results'!$P$4=3,VLOOKUP('DGNB LCA Results'!$M$3,Use!$S$2:$Z$34,4,FALSE)*'DGNB LCA Results'!$N$3+VLOOKUP('DGNB LCA Results'!$K$3,Use!$S$2:$Z$34,4,FALSE)*'DGNB LCA Results'!$L$3+VLOOKUP('DGNB LCA Results'!$I$3,Use!$S$2:$Z$34,4,FALSE)*'DGNB LCA Results'!$J$3,IF('DGNB LCA Results'!$P$4=2,VLOOKUP('DGNB LCA Results'!$M$3,Use!$S$2:$Z$34,4,FALSE)*'DGNB LCA Results'!$N$3+VLOOKUP('DGNB LCA Results'!$K$3,Use!$S$2:$Z$34,4,FALSE)*'DGNB LCA Results'!$L$3,IF('DGNB LCA Results'!$P$4=1,VLOOKUP('DGNB LCA Results'!$M$3,Use!$S$2:$Z$34,4,FALSE)*'DGNB LCA Results'!$N$3,0))))</f>
        <v>0</v>
      </c>
      <c r="W37" s="56">
        <f>IF('DGNB LCA Results'!$P$4=4,VLOOKUP('DGNB LCA Results'!$M$3,Use!$S$2:$Z$34,5,FALSE)*'DGNB LCA Results'!$N$3+VLOOKUP('DGNB LCA Results'!$K$3,Use!$S$2:$Z$34,5,FALSE)*'DGNB LCA Results'!$L$3+VLOOKUP('DGNB LCA Results'!$I$3,Use!$S$2:$Z$34,5,FALSE)*'DGNB LCA Results'!$J$3+VLOOKUP('DGNB LCA Results'!$G$3,Use!$S$2:$Z$34,5,FALSE)*'DGNB LCA Results'!$H$3,IF('DGNB LCA Results'!$P$4=3,VLOOKUP('DGNB LCA Results'!$M$3,Use!$S$2:$Z$34,5,FALSE)*'DGNB LCA Results'!$N$3+VLOOKUP('DGNB LCA Results'!$K$3,Use!$S$2:$Z$34,5,FALSE)*'DGNB LCA Results'!$L$3+VLOOKUP('DGNB LCA Results'!$I$3,Use!$S$2:$Z$34,5,FALSE)*'DGNB LCA Results'!$J$3,IF('DGNB LCA Results'!$P$4=2,VLOOKUP('DGNB LCA Results'!$M$3,Use!$S$2:$Z$34,5,FALSE)*'DGNB LCA Results'!$N$3+VLOOKUP('DGNB LCA Results'!$K$3,Use!$S$2:$Z$34,5,FALSE)*'DGNB LCA Results'!$L$3,IF('DGNB LCA Results'!$P$4=1,VLOOKUP('DGNB LCA Results'!$M$3,Use!$S$2:$Z$34,5,FALSE)*'DGNB LCA Results'!$N$3,0))))</f>
        <v>0</v>
      </c>
      <c r="X37" s="56">
        <f>IF('DGNB LCA Results'!$P$4=4,VLOOKUP('DGNB LCA Results'!$M$3,Use!$S$2:$Z$34,6,FALSE)*'DGNB LCA Results'!$N$3+VLOOKUP('DGNB LCA Results'!$K$3,Use!$S$2:$Z$34,6,FALSE)*'DGNB LCA Results'!$L$3+VLOOKUP('DGNB LCA Results'!$I$3,Use!$S$2:$Z$34,6,FALSE)*'DGNB LCA Results'!$J$3+VLOOKUP('DGNB LCA Results'!$G$3,Use!$S$2:$Z$34,6,FALSE)*'DGNB LCA Results'!$H$3,IF('DGNB LCA Results'!$P$4=3,VLOOKUP('DGNB LCA Results'!$M$3,Use!$S$2:$Z$34,6,FALSE)*'DGNB LCA Results'!$N$3+VLOOKUP('DGNB LCA Results'!$K$3,Use!$S$2:$Z$34,6,FALSE)*'DGNB LCA Results'!$L$3+VLOOKUP('DGNB LCA Results'!$I$3,Use!$S$2:$Z$34,6,FALSE)*'DGNB LCA Results'!$J$3,IF('DGNB LCA Results'!$P$4=2,VLOOKUP('DGNB LCA Results'!$M$3,Use!$S$2:$Z$34,6,FALSE)*'DGNB LCA Results'!$N$3+VLOOKUP('DGNB LCA Results'!$K$3,Use!$S$2:$Z$34,6,FALSE)*'DGNB LCA Results'!$L$3,IF('DGNB LCA Results'!$P$4=1,VLOOKUP('DGNB LCA Results'!$M$3,Use!$S$2:$Z$34,6,FALSE)*'DGNB LCA Results'!$N$3,0))))</f>
        <v>0</v>
      </c>
      <c r="Y37" s="56">
        <f>IF('DGNB LCA Results'!$P$4=4,VLOOKUP('DGNB LCA Results'!$M$3,Use!$S$2:$Z$34,7,FALSE)*'DGNB LCA Results'!$N$3+VLOOKUP('DGNB LCA Results'!$K$3,Use!$S$2:$Z$34,7,FALSE)*'DGNB LCA Results'!$L$3+VLOOKUP('DGNB LCA Results'!$I$3,Use!$S$2:$Z$34,7,FALSE)*'DGNB LCA Results'!$J$3+VLOOKUP('DGNB LCA Results'!$G$3,Use!$S$2:$Z$34,7,FALSE)*'DGNB LCA Results'!$H$3,IF('DGNB LCA Results'!$P$4=3,VLOOKUP('DGNB LCA Results'!$M$3,Use!$S$2:$Z$34,7,FALSE)*'DGNB LCA Results'!$N$3+VLOOKUP('DGNB LCA Results'!$K$3,Use!$S$2:$Z$34,7,FALSE)*'DGNB LCA Results'!$L$3+VLOOKUP('DGNB LCA Results'!$I$3,Use!$S$2:$Z$34,7,FALSE)*'DGNB LCA Results'!$J$3,IF('DGNB LCA Results'!$P$4=2,VLOOKUP('DGNB LCA Results'!$M$3,Use!$S$2:$Z$34,7,FALSE)*'DGNB LCA Results'!$N$3+VLOOKUP('DGNB LCA Results'!$K$3,Use!$S$2:$Z$34,7,FALSE)*'DGNB LCA Results'!$L$3,IF('DGNB LCA Results'!$P$4=1,VLOOKUP('DGNB LCA Results'!$M$3,Use!$S$2:$Z$34,7,FALSE)*'DGNB LCA Results'!$N$3,0))))</f>
        <v>0</v>
      </c>
      <c r="Z37" s="56">
        <f>IF('DGNB LCA Results'!$P$4=4,VLOOKUP('DGNB LCA Results'!$M$3,Use!$S$2:$Z$34,8,FALSE)*'DGNB LCA Results'!$N$3+VLOOKUP('DGNB LCA Results'!$K$3,Use!$S$2:$Z$34,8,FALSE)*'DGNB LCA Results'!$L$3+VLOOKUP('DGNB LCA Results'!$I$3,Use!$S$2:$Z$34,8,FALSE)*'DGNB LCA Results'!$J$3+VLOOKUP('DGNB LCA Results'!$G$3,Use!$S$2:$Z$34,8,FALSE)*'DGNB LCA Results'!$H$3,IF('DGNB LCA Results'!$P$4=3,VLOOKUP('DGNB LCA Results'!$M$3,Use!$S$2:$Z$34,8,FALSE)*'DGNB LCA Results'!$N$3+VLOOKUP('DGNB LCA Results'!$K$3,Use!$S$2:$Z$34,8,FALSE)*'DGNB LCA Results'!$L$3+VLOOKUP('DGNB LCA Results'!$I$3,Use!$S$2:$Z$34,8,FALSE)*'DGNB LCA Results'!$J$3,IF('DGNB LCA Results'!$P$4=2,VLOOKUP('DGNB LCA Results'!$M$3,Use!$S$2:$Z$34,8,FALSE)*'DGNB LCA Results'!$N$3+VLOOKUP('DGNB LCA Results'!$K$3,Use!$S$2:$Z$34,8,FALSE)*'DGNB LCA Results'!$L$3,IF('DGNB LCA Results'!$P$4=1,VLOOKUP('DGNB LCA Results'!$M$3,Use!$S$2:$Z$34,8,FALSE)*'DGNB LCA Results'!$N$3,0))))</f>
        <v>0</v>
      </c>
      <c r="AB37" s="256" t="s">
        <v>193</v>
      </c>
      <c r="AC37" s="259">
        <f>IF('DGNB LCA Results'!$P$4=4,VLOOKUP('DGNB LCA Results'!$M$3,Use!$AB$2:$AI$34,2,FALSE)*'DGNB LCA Results'!$N$3+VLOOKUP('DGNB LCA Results'!$K$3,Use!$AB$2:$AI$34,2,FALSE)*'DGNB LCA Results'!$L$3+VLOOKUP('DGNB LCA Results'!$I$3,Use!$AB$2:$AI$34,2,FALSE)*'DGNB LCA Results'!$J$3+VLOOKUP('DGNB LCA Results'!$G$3,Use!$AB$2:$AI$34,2,FALSE)*'DGNB LCA Results'!$H$3,IF('DGNB LCA Results'!$P$4=3,VLOOKUP('DGNB LCA Results'!$M$3,Use!$AB$2:$AI$34,2,FALSE)*'DGNB LCA Results'!$N$3+VLOOKUP('DGNB LCA Results'!$K$3,Use!$AB$2:$AI$34,2,FALSE)*'DGNB LCA Results'!$L$3+VLOOKUP('DGNB LCA Results'!$I$3,Use!$AB$2:$AI$34,2,FALSE)*'DGNB LCA Results'!$J$3,IF('DGNB LCA Results'!$P$4=2,VLOOKUP('DGNB LCA Results'!$M$3,Use!$AB$2:$AI$34,2,FALSE)*'DGNB LCA Results'!$N$3+VLOOKUP('DGNB LCA Results'!$K$3,Use!$AB$2:$AI$34,2,FALSE)*'DGNB LCA Results'!$L$3,IF('DGNB LCA Results'!$P$4=1,VLOOKUP('DGNB LCA Results'!$M$3,Use!$AB$2:$AI$34,2,FALSE)*'DGNB LCA Results'!$N$3,0))))</f>
        <v>0</v>
      </c>
      <c r="AD37" s="48">
        <f>IF('DGNB LCA Results'!$P$4=4,VLOOKUP('DGNB LCA Results'!$M$3,Use!$AB$2:$AI$34,3,FALSE)*'DGNB LCA Results'!$N$3+VLOOKUP('DGNB LCA Results'!$K$3,Use!$AB$2:$AI$34,3,FALSE)*'DGNB LCA Results'!$L$3+VLOOKUP('DGNB LCA Results'!$I$3,Use!$AB$2:$AI$34,3,FALSE)*'DGNB LCA Results'!$J$3+VLOOKUP('DGNB LCA Results'!$G$3,Use!$AB$2:$AI$34,3,FALSE)*'DGNB LCA Results'!$H$3,IF('DGNB LCA Results'!$P$4=3,VLOOKUP('DGNB LCA Results'!$M$3,Use!$AB$2:$AI$34,3,FALSE)*'DGNB LCA Results'!$N$3+VLOOKUP('DGNB LCA Results'!$K$3,Use!$AB$2:$AI$34,3,FALSE)*'DGNB LCA Results'!$L$3+VLOOKUP('DGNB LCA Results'!$I$3,Use!$AB$2:$AI$34,3,FALSE)*'DGNB LCA Results'!$J$3,IF('DGNB LCA Results'!$P$4=2,VLOOKUP('DGNB LCA Results'!$M$3,Use!$AB$2:$AI$34,3,FALSE)*'DGNB LCA Results'!$N$3+VLOOKUP('DGNB LCA Results'!$K$3,Use!$AB$2:$AI$34,3,FALSE)*'DGNB LCA Results'!$L$3,IF('DGNB LCA Results'!$P$4=1,VLOOKUP('DGNB LCA Results'!$M$3,Use!$AB$2:$AI$34,3,FALSE)*'DGNB LCA Results'!$N$3,0))))</f>
        <v>0</v>
      </c>
      <c r="AE37" s="59">
        <f>IF('DGNB LCA Results'!$P$4=4,VLOOKUP('DGNB LCA Results'!$M$3,Use!$AB$2:$AI$34,4,FALSE)*'DGNB LCA Results'!$N$3+VLOOKUP('DGNB LCA Results'!$K$3,Use!$AB$2:$AI$34,4,FALSE)*'DGNB LCA Results'!$L$3+VLOOKUP('DGNB LCA Results'!$I$3,Use!$AB$2:$AI$34,4,FALSE)*'DGNB LCA Results'!$J$3+VLOOKUP('DGNB LCA Results'!$G$3,Use!$AB$2:$AI$34,4,FALSE)*'DGNB LCA Results'!$H$3,IF('DGNB LCA Results'!$P$4=3,VLOOKUP('DGNB LCA Results'!$M$3,Use!$AB$2:$AI$34,4,FALSE)*'DGNB LCA Results'!$N$3+VLOOKUP('DGNB LCA Results'!$K$3,Use!$AB$2:$AI$34,4,FALSE)*'DGNB LCA Results'!$L$3+VLOOKUP('DGNB LCA Results'!$I$3,Use!$AB$2:$AI$34,4,FALSE)*'DGNB LCA Results'!$J$3,IF('DGNB LCA Results'!$P$4=2,VLOOKUP('DGNB LCA Results'!$M$3,Use!$AB$2:$AI$34,4,FALSE)*'DGNB LCA Results'!$N$3+VLOOKUP('DGNB LCA Results'!$K$3,Use!$AB$2:$AI$34,4,FALSE)*'DGNB LCA Results'!$L$3,IF('DGNB LCA Results'!$P$4=1,VLOOKUP('DGNB LCA Results'!$M$3,Use!$AB$2:$AI$34,4,FALSE)*'DGNB LCA Results'!$N$3,0))))</f>
        <v>0</v>
      </c>
      <c r="AF37" s="56">
        <f>IF('DGNB LCA Results'!$P$4=4,VLOOKUP('DGNB LCA Results'!$M$3,Use!$AB$2:$AI$34,5,FALSE)*'DGNB LCA Results'!$N$3+VLOOKUP('DGNB LCA Results'!$K$3,Use!$AB$2:$AI$34,5,FALSE)*'DGNB LCA Results'!$L$3+VLOOKUP('DGNB LCA Results'!$I$3,Use!$AB$2:$AI$34,5,FALSE)*'DGNB LCA Results'!$J$3+VLOOKUP('DGNB LCA Results'!$G$3,Use!$AB$2:$AI$34,5,FALSE)*'DGNB LCA Results'!$H$3,IF('DGNB LCA Results'!$P$4=3,VLOOKUP('DGNB LCA Results'!$M$3,Use!$AB$2:$AI$34,5,FALSE)*'DGNB LCA Results'!$N$3+VLOOKUP('DGNB LCA Results'!$K$3,Use!$AB$2:$AI$34,5,FALSE)*'DGNB LCA Results'!$L$3+VLOOKUP('DGNB LCA Results'!$I$3,Use!$AB$2:$AI$34,5,FALSE)*'DGNB LCA Results'!$J$3,IF('DGNB LCA Results'!$P$4=2,VLOOKUP('DGNB LCA Results'!$M$3,Use!$AB$2:$AI$34,5,FALSE)*'DGNB LCA Results'!$N$3+VLOOKUP('DGNB LCA Results'!$K$3,Use!$AB$2:$AI$34,5,FALSE)*'DGNB LCA Results'!$L$3,IF('DGNB LCA Results'!$P$4=1,VLOOKUP('DGNB LCA Results'!$M$3,Use!$AB$2:$AI$34,5,FALSE)*'DGNB LCA Results'!$N$3,0))))</f>
        <v>0</v>
      </c>
      <c r="AG37" s="56">
        <f>IF('DGNB LCA Results'!$P$4=4,VLOOKUP('DGNB LCA Results'!$M$3,Use!$AB$2:$AI$34,6,FALSE)*'DGNB LCA Results'!$N$3+VLOOKUP('DGNB LCA Results'!$K$3,Use!$AB$2:$AI$34,6,FALSE)*'DGNB LCA Results'!$L$3+VLOOKUP('DGNB LCA Results'!$I$3,Use!$AB$2:$AI$34,6,FALSE)*'DGNB LCA Results'!$J$3+VLOOKUP('DGNB LCA Results'!$G$3,Use!$AB$2:$AI$34,6,FALSE)*'DGNB LCA Results'!$H$3,IF('DGNB LCA Results'!$P$4=3,VLOOKUP('DGNB LCA Results'!$M$3,Use!$AB$2:$AI$34,6,FALSE)*'DGNB LCA Results'!$N$3+VLOOKUP('DGNB LCA Results'!$K$3,Use!$AB$2:$AI$34,6,FALSE)*'DGNB LCA Results'!$L$3+VLOOKUP('DGNB LCA Results'!$I$3,Use!$AB$2:$AI$34,6,FALSE)*'DGNB LCA Results'!$J$3,IF('DGNB LCA Results'!$P$4=2,VLOOKUP('DGNB LCA Results'!$M$3,Use!$AB$2:$AI$34,6,FALSE)*'DGNB LCA Results'!$N$3+VLOOKUP('DGNB LCA Results'!$K$3,Use!$AB$2:$AI$34,6,FALSE)*'DGNB LCA Results'!$L$3,IF('DGNB LCA Results'!$P$4=1,VLOOKUP('DGNB LCA Results'!$M$3,Use!$AB$2:$AI$34,6,FALSE)*'DGNB LCA Results'!$N$3,0))))</f>
        <v>0</v>
      </c>
      <c r="AH37" s="56">
        <f>IF('DGNB LCA Results'!$P$4=4,VLOOKUP('DGNB LCA Results'!$M$3,Use!$AB$2:$AI$34,7,FALSE)*'DGNB LCA Results'!$N$3+VLOOKUP('DGNB LCA Results'!$K$3,Use!$AB$2:$AI$34,7,FALSE)*'DGNB LCA Results'!$L$3+VLOOKUP('DGNB LCA Results'!$I$3,Use!$AB$2:$AI$34,7,FALSE)*'DGNB LCA Results'!$J$3+VLOOKUP('DGNB LCA Results'!$G$3,Use!$AB$2:$AI$34,7,FALSE)*'DGNB LCA Results'!$H$3,IF('DGNB LCA Results'!$P$4=3,VLOOKUP('DGNB LCA Results'!$M$3,Use!$AB$2:$AI$34,7,FALSE)*'DGNB LCA Results'!$N$3+VLOOKUP('DGNB LCA Results'!$K$3,Use!$AB$2:$AI$34,7,FALSE)*'DGNB LCA Results'!$L$3+VLOOKUP('DGNB LCA Results'!$I$3,Use!$AB$2:$AI$34,7,FALSE)*'DGNB LCA Results'!$J$3,IF('DGNB LCA Results'!$P$4=2,VLOOKUP('DGNB LCA Results'!$M$3,Use!$AB$2:$AI$34,7,FALSE)*'DGNB LCA Results'!$N$3+VLOOKUP('DGNB LCA Results'!$K$3,Use!$AB$2:$AI$34,7,FALSE)*'DGNB LCA Results'!$L$3,IF('DGNB LCA Results'!$P$4=1,VLOOKUP('DGNB LCA Results'!$M$3,Use!$AB$2:$AI$34,7,FALSE)*'DGNB LCA Results'!$N$3,0))))</f>
        <v>0</v>
      </c>
      <c r="AI37" s="56">
        <f>IF('DGNB LCA Results'!$P$4=4,VLOOKUP('DGNB LCA Results'!$M$3,Use!$AB$2:$AI$34,8,FALSE)*'DGNB LCA Results'!$N$3+VLOOKUP('DGNB LCA Results'!$K$3,Use!$AB$2:$AI$34,8,FALSE)*'DGNB LCA Results'!$L$3+VLOOKUP('DGNB LCA Results'!$I$3,Use!$AB$2:$AI$34,8,FALSE)*'DGNB LCA Results'!$J$3+VLOOKUP('DGNB LCA Results'!$G$3,Use!$AB$2:$AI$34,8,FALSE)*'DGNB LCA Results'!$H$3,IF('DGNB LCA Results'!$P$4=3,VLOOKUP('DGNB LCA Results'!$M$3,Use!$AB$2:$AI$34,8,FALSE)*'DGNB LCA Results'!$N$3+VLOOKUP('DGNB LCA Results'!$K$3,Use!$AB$2:$AI$34,8,FALSE)*'DGNB LCA Results'!$L$3+VLOOKUP('DGNB LCA Results'!$I$3,Use!$AB$2:$AI$34,8,FALSE)*'DGNB LCA Results'!$J$3,IF('DGNB LCA Results'!$P$4=2,VLOOKUP('DGNB LCA Results'!$M$3,Use!$AB$2:$AI$34,8,FALSE)*'DGNB LCA Results'!$N$3+VLOOKUP('DGNB LCA Results'!$K$3,Use!$AB$2:$AI$34,8,FALSE)*'DGNB LCA Results'!$L$3,IF('DGNB LCA Results'!$P$4=1,VLOOKUP('DGNB LCA Results'!$M$3,Use!$AB$2:$AI$34,8,FALSE)*'DGNB LCA Results'!$N$3,0))))</f>
        <v>0</v>
      </c>
    </row>
    <row r="38" spans="1:35" ht="16" x14ac:dyDescent="0.2">
      <c r="A38" s="256" t="s">
        <v>194</v>
      </c>
      <c r="B38" s="259">
        <f>IF('DGNB LCA Results'!$P$4=4,VLOOKUP('DGNB LCA Results'!$M$3,Use!$A$2:$H$34,2,FALSE)*'DGNB LCA Results'!$N$3+VLOOKUP('DGNB LCA Results'!$K$3,Use!$A$2:$H$34,2,FALSE)*'DGNB LCA Results'!$L$3+VLOOKUP('DGNB LCA Results'!$I$3,Use!$A$2:$H$34,2,FALSE)*'DGNB LCA Results'!$J$3+VLOOKUP('DGNB LCA Results'!$G$3,Use!$A$2:$H$34,2,FALSE)*'DGNB LCA Results'!$H$3,IF('DGNB LCA Results'!$P$4=3,VLOOKUP('DGNB LCA Results'!$M$3,Use!$A$2:$H$34,2,FALSE)*'DGNB LCA Results'!$N$3+VLOOKUP('DGNB LCA Results'!$K$3,Use!$A$2:$H$34,2,FALSE)*'DGNB LCA Results'!$L$3+VLOOKUP('DGNB LCA Results'!$I$3,Use!$A$2:$H$34,2,FALSE)*'DGNB LCA Results'!$J$3,IF('DGNB LCA Results'!$P$4=2,VLOOKUP('DGNB LCA Results'!$M$3,Use!$A$2:$H$34,2,FALSE)*'DGNB LCA Results'!$N$3+VLOOKUP('DGNB LCA Results'!$K$3,Use!$A$2:$H$34,2,FALSE)*'DGNB LCA Results'!$L$3,IF('DGNB LCA Results'!$P$4=1,VLOOKUP('DGNB LCA Results'!$M$3,Use!$A$2:$H$34,2,FALSE)*'DGNB LCA Results'!$N$3,0))))</f>
        <v>0</v>
      </c>
      <c r="C38" s="48">
        <f>IF('DGNB LCA Results'!$P$4=4,VLOOKUP('DGNB LCA Results'!$M$3,Use!$A$2:$H$34,3,FALSE)*'DGNB LCA Results'!$N$3+VLOOKUP('DGNB LCA Results'!$K$3,Use!$A$2:$H$34,3,FALSE)*'DGNB LCA Results'!$L$3+VLOOKUP('DGNB LCA Results'!$I$3,Use!$A$2:$H$34,3,FALSE)*'DGNB LCA Results'!$J$3+VLOOKUP('DGNB LCA Results'!$G$3,Use!$A$2:$H$34,3,FALSE)*'DGNB LCA Results'!$H$3,IF('DGNB LCA Results'!$P$4=3,VLOOKUP('DGNB LCA Results'!$M$3,Use!$A$2:$H$34,3,FALSE)*'DGNB LCA Results'!$N$3+VLOOKUP('DGNB LCA Results'!$K$3,Use!$A$2:$H$34,3,FALSE)*'DGNB LCA Results'!$L$3+VLOOKUP('DGNB LCA Results'!$I$3,Use!$A$2:$H$34,3,FALSE)*'DGNB LCA Results'!$J$3,IF('DGNB LCA Results'!$P$4=2,VLOOKUP('DGNB LCA Results'!$M$3,Use!$A$2:$H$34,3,FALSE)*'DGNB LCA Results'!$N$3+VLOOKUP('DGNB LCA Results'!$K$3,Use!$A$2:$H$34,3,FALSE)*'DGNB LCA Results'!$L$3,IF('DGNB LCA Results'!$P$4=1,VLOOKUP('DGNB LCA Results'!$M$3,Use!$A$2:$H$34,3,FALSE)*'DGNB LCA Results'!$N$3,0))))</f>
        <v>0</v>
      </c>
      <c r="D38" s="59">
        <f>IF('DGNB LCA Results'!$P$4=4,VLOOKUP('DGNB LCA Results'!$M$3,Use!$A$2:$H$34,4,FALSE)*'DGNB LCA Results'!$N$3+VLOOKUP('DGNB LCA Results'!$K$3,Use!$A$2:$H$34,4,FALSE)*'DGNB LCA Results'!$L$3+VLOOKUP('DGNB LCA Results'!$I$3,Use!$A$2:$H$34,4,FALSE)*'DGNB LCA Results'!$J$3+VLOOKUP('DGNB LCA Results'!$G$3,Use!$A$2:$H$34,4,FALSE)*'DGNB LCA Results'!$H$3,IF('DGNB LCA Results'!$P$4=3,VLOOKUP('DGNB LCA Results'!$M$3,Use!$A$2:$H$34,4,FALSE)*'DGNB LCA Results'!$N$3+VLOOKUP('DGNB LCA Results'!$K$3,Use!$A$2:$H$34,4,FALSE)*'DGNB LCA Results'!$L$3+VLOOKUP('DGNB LCA Results'!$I$3,Use!$A$2:$H$34,4,FALSE)*'DGNB LCA Results'!$J$3,IF('DGNB LCA Results'!$P$4=2,VLOOKUP('DGNB LCA Results'!$M$3,Use!$A$2:$H$34,4,FALSE)*'DGNB LCA Results'!$N$3+VLOOKUP('DGNB LCA Results'!$K$3,Use!$A$2:$H$34,4,FALSE)*'DGNB LCA Results'!$L$3,IF('DGNB LCA Results'!$P$4=1,VLOOKUP('DGNB LCA Results'!$M$3,Use!$A$2:$H$34,4,FALSE)*'DGNB LCA Results'!$N$3,0))))</f>
        <v>0</v>
      </c>
      <c r="E38" s="56">
        <f>IF('DGNB LCA Results'!$P$4=4,VLOOKUP('DGNB LCA Results'!$M$3,Use!$A$2:$H$34,5,FALSE)*'DGNB LCA Results'!$N$3+VLOOKUP('DGNB LCA Results'!$K$3,Use!$A$2:$H$34,5,FALSE)*'DGNB LCA Results'!$L$3+VLOOKUP('DGNB LCA Results'!$I$3,Use!$A$2:$H$34,5,FALSE)*'DGNB LCA Results'!$J$3+VLOOKUP('DGNB LCA Results'!$G$3,Use!$A$2:$H$34,5,FALSE)*'DGNB LCA Results'!$H$3,IF('DGNB LCA Results'!$P$4=3,VLOOKUP('DGNB LCA Results'!$M$3,Use!$A$2:$H$34,5,FALSE)*'DGNB LCA Results'!$N$3+VLOOKUP('DGNB LCA Results'!$K$3,Use!$A$2:$H$34,5,FALSE)*'DGNB LCA Results'!$L$3+VLOOKUP('DGNB LCA Results'!$I$3,Use!$A$2:$H$34,5,FALSE)*'DGNB LCA Results'!$J$3,IF('DGNB LCA Results'!$P$4=2,VLOOKUP('DGNB LCA Results'!$M$3,Use!$A$2:$H$34,5,FALSE)*'DGNB LCA Results'!$N$3+VLOOKUP('DGNB LCA Results'!$K$3,Use!$A$2:$H$34,5,FALSE)*'DGNB LCA Results'!$L$3,IF('DGNB LCA Results'!$P$4=1,VLOOKUP('DGNB LCA Results'!$M$3,Use!$A$2:$H$34,5,FALSE)*'DGNB LCA Results'!$N$3,0))))</f>
        <v>0</v>
      </c>
      <c r="F38" s="56">
        <f>IF('DGNB LCA Results'!$P$4=4,VLOOKUP('DGNB LCA Results'!$M$3,Use!$A$2:$H$34,6,FALSE)*'DGNB LCA Results'!$N$3+VLOOKUP('DGNB LCA Results'!$K$3,Use!$A$2:$H$34,6,FALSE)*'DGNB LCA Results'!$L$3+VLOOKUP('DGNB LCA Results'!$I$3,Use!$A$2:$H$34,6,FALSE)*'DGNB LCA Results'!$J$3+VLOOKUP('DGNB LCA Results'!$G$3,Use!$A$2:$H$34,6,FALSE)*'DGNB LCA Results'!$H$3,IF('DGNB LCA Results'!$P$4=3,VLOOKUP('DGNB LCA Results'!$M$3,Use!$A$2:$H$34,6,FALSE)*'DGNB LCA Results'!$N$3+VLOOKUP('DGNB LCA Results'!$K$3,Use!$A$2:$H$34,6,FALSE)*'DGNB LCA Results'!$L$3+VLOOKUP('DGNB LCA Results'!$I$3,Use!$A$2:$H$34,6,FALSE)*'DGNB LCA Results'!$J$3,IF('DGNB LCA Results'!$P$4=2,VLOOKUP('DGNB LCA Results'!$M$3,Use!$A$2:$H$34,6,FALSE)*'DGNB LCA Results'!$N$3+VLOOKUP('DGNB LCA Results'!$K$3,Use!$A$2:$H$34,6,FALSE)*'DGNB LCA Results'!$L$3,IF('DGNB LCA Results'!$P$4=1,VLOOKUP('DGNB LCA Results'!$M$3,Use!$A$2:$H$34,6,FALSE)*'DGNB LCA Results'!$N$3,0))))</f>
        <v>0</v>
      </c>
      <c r="G38" s="56">
        <f>IF('DGNB LCA Results'!$P$4=4,VLOOKUP('DGNB LCA Results'!$M$3,Use!$A$2:$H$34,7,FALSE)*'DGNB LCA Results'!$N$3+VLOOKUP('DGNB LCA Results'!$K$3,Use!$A$2:$H$34,7,FALSE)*'DGNB LCA Results'!$L$3+VLOOKUP('DGNB LCA Results'!$I$3,Use!$A$2:$H$34,7,FALSE)*'DGNB LCA Results'!$J$3+VLOOKUP('DGNB LCA Results'!$G$3,Use!$A$2:$H$34,7,FALSE)*'DGNB LCA Results'!$H$3,IF('DGNB LCA Results'!$P$4=3,VLOOKUP('DGNB LCA Results'!$M$3,Use!$A$2:$H$34,7,FALSE)*'DGNB LCA Results'!$N$3+VLOOKUP('DGNB LCA Results'!$K$3,Use!$A$2:$H$34,7,FALSE)*'DGNB LCA Results'!$L$3+VLOOKUP('DGNB LCA Results'!$I$3,Use!$A$2:$H$34,7,FALSE)*'DGNB LCA Results'!$J$3,IF('DGNB LCA Results'!$P$4=2,VLOOKUP('DGNB LCA Results'!$M$3,Use!$A$2:$H$34,7,FALSE)*'DGNB LCA Results'!$N$3+VLOOKUP('DGNB LCA Results'!$K$3,Use!$A$2:$H$34,7,FALSE)*'DGNB LCA Results'!$L$3,IF('DGNB LCA Results'!$P$4=1,VLOOKUP('DGNB LCA Results'!$M$3,Use!$A$2:$H$34,7,FALSE)*'DGNB LCA Results'!$N$3,0))))</f>
        <v>0</v>
      </c>
      <c r="H38" s="56">
        <f>IF('DGNB LCA Results'!$P$4=4,VLOOKUP('DGNB LCA Results'!$M$3,Use!$A$2:$H$34,8,FALSE)*'DGNB LCA Results'!$N$3+VLOOKUP('DGNB LCA Results'!$K$3,Use!$A$2:$H$34,8,FALSE)*'DGNB LCA Results'!$L$3+VLOOKUP('DGNB LCA Results'!$I$3,Use!$A$2:$H$34,8,FALSE)*'DGNB LCA Results'!$J$3+VLOOKUP('DGNB LCA Results'!$G$3,Use!$A$2:$H$34,8,FALSE)*'DGNB LCA Results'!$H$3,IF('DGNB LCA Results'!$P$4=3,VLOOKUP('DGNB LCA Results'!$M$3,Use!$A$2:$H$34,8,FALSE)*'DGNB LCA Results'!$N$3+VLOOKUP('DGNB LCA Results'!$K$3,Use!$A$2:$H$34,8,FALSE)*'DGNB LCA Results'!$L$3+VLOOKUP('DGNB LCA Results'!$I$3,Use!$A$2:$H$34,8,FALSE)*'DGNB LCA Results'!$J$3,IF('DGNB LCA Results'!$P$4=2,VLOOKUP('DGNB LCA Results'!$M$3,Use!$A$2:$H$34,8,FALSE)*'DGNB LCA Results'!$N$3+VLOOKUP('DGNB LCA Results'!$K$3,Use!$A$2:$H$34,8,FALSE)*'DGNB LCA Results'!$L$3,IF('DGNB LCA Results'!$P$4=1,VLOOKUP('DGNB LCA Results'!$M$3,Use!$A$2:$H$34,8,FALSE)*'DGNB LCA Results'!$N$3,0))))</f>
        <v>0</v>
      </c>
      <c r="I38" s="46"/>
      <c r="J38" s="256" t="s">
        <v>194</v>
      </c>
      <c r="K38" s="259">
        <f>IF('DGNB LCA Results'!$P$4=4,VLOOKUP('DGNB LCA Results'!$M$3,Use!$J$2:$Q$34,2,FALSE)*'DGNB LCA Results'!$N$3+VLOOKUP('DGNB LCA Results'!$K$3,Use!$J$2:$Q$34,2,FALSE)*'DGNB LCA Results'!$L$3+VLOOKUP('DGNB LCA Results'!$I$3,Use!$J$2:$Q$34,2,FALSE)*'DGNB LCA Results'!$J$3+VLOOKUP('DGNB LCA Results'!$G$3,Use!$J$2:$Q$34,2,FALSE)*'DGNB LCA Results'!$H$3,IF('DGNB LCA Results'!$P$4=3,VLOOKUP('DGNB LCA Results'!$M$3,Use!$J$2:$Q$34,2,FALSE)*'DGNB LCA Results'!$N$3+VLOOKUP('DGNB LCA Results'!$K$3,Use!$J$2:$Q$34,2,FALSE)*'DGNB LCA Results'!$L$3+VLOOKUP('DGNB LCA Results'!$I$3,Use!$J$2:$Q$34,2,FALSE)*'DGNB LCA Results'!$J$3,IF('DGNB LCA Results'!$P$4=2,VLOOKUP('DGNB LCA Results'!$M$3,Use!$J$2:$Q$34,2,FALSE)*'DGNB LCA Results'!$N$3+VLOOKUP('DGNB LCA Results'!$K$3,Use!$J$2:$Q$34,2,FALSE)*'DGNB LCA Results'!$L$3,IF('DGNB LCA Results'!$P$4=1,VLOOKUP('DGNB LCA Results'!$M$3,Use!$J$2:$Q$34,2,FALSE)*'DGNB LCA Results'!$N$3,0))))</f>
        <v>0</v>
      </c>
      <c r="L38" s="48">
        <f>IF('DGNB LCA Results'!$P$4=4,VLOOKUP('DGNB LCA Results'!$M$3,Use!$J$2:$Q$34,3,FALSE)*'DGNB LCA Results'!$N$3+VLOOKUP('DGNB LCA Results'!$K$3,Use!$J$2:$Q$34,3,FALSE)*'DGNB LCA Results'!$L$3+VLOOKUP('DGNB LCA Results'!$I$3,Use!$J$2:$Q$34,3,FALSE)*'DGNB LCA Results'!$J$3+VLOOKUP('DGNB LCA Results'!$G$3,Use!$J$2:$Q$34,3,FALSE)*'DGNB LCA Results'!$H$3,IF('DGNB LCA Results'!$P$4=3,VLOOKUP('DGNB LCA Results'!$M$3,Use!$J$2:$Q$34,3,FALSE)*'DGNB LCA Results'!$N$3+VLOOKUP('DGNB LCA Results'!$K$3,Use!$J$2:$Q$34,3,FALSE)*'DGNB LCA Results'!$L$3+VLOOKUP('DGNB LCA Results'!$I$3,Use!$J$2:$Q$34,3,FALSE)*'DGNB LCA Results'!$J$3,IF('DGNB LCA Results'!$P$4=2,VLOOKUP('DGNB LCA Results'!$M$3,Use!$J$2:$Q$34,3,FALSE)*'DGNB LCA Results'!$N$3+VLOOKUP('DGNB LCA Results'!$K$3,Use!$J$2:$Q$34,3,FALSE)*'DGNB LCA Results'!$L$3,IF('DGNB LCA Results'!$P$4=1,VLOOKUP('DGNB LCA Results'!$M$3,Use!$J$2:$Q$34,3,FALSE)*'DGNB LCA Results'!$N$3,0))))</f>
        <v>0</v>
      </c>
      <c r="M38" s="59">
        <f>IF('DGNB LCA Results'!$P$4=4,VLOOKUP('DGNB LCA Results'!$M$3,Use!$J$2:$Q$34,4,FALSE)*'DGNB LCA Results'!$N$3+VLOOKUP('DGNB LCA Results'!$K$3,Use!$J$2:$Q$34,4,FALSE)*'DGNB LCA Results'!$L$3+VLOOKUP('DGNB LCA Results'!$I$3,Use!$J$2:$Q$34,4,FALSE)*'DGNB LCA Results'!$J$3+VLOOKUP('DGNB LCA Results'!$G$3,Use!$J$2:$Q$34,4,FALSE)*'DGNB LCA Results'!$H$3,IF('DGNB LCA Results'!$P$4=3,VLOOKUP('DGNB LCA Results'!$M$3,Use!$J$2:$Q$34,4,FALSE)*'DGNB LCA Results'!$N$3+VLOOKUP('DGNB LCA Results'!$K$3,Use!$J$2:$Q$34,4,FALSE)*'DGNB LCA Results'!$L$3+VLOOKUP('DGNB LCA Results'!$I$3,Use!$J$2:$Q$34,4,FALSE)*'DGNB LCA Results'!$J$3,IF('DGNB LCA Results'!$P$4=2,VLOOKUP('DGNB LCA Results'!$M$3,Use!$J$2:$Q$34,4,FALSE)*'DGNB LCA Results'!$N$3+VLOOKUP('DGNB LCA Results'!$K$3,Use!$J$2:$Q$34,4,FALSE)*'DGNB LCA Results'!$L$3,IF('DGNB LCA Results'!$P$4=1,VLOOKUP('DGNB LCA Results'!$M$3,Use!$J$2:$Q$34,4,FALSE)*'DGNB LCA Results'!$N$3,0))))</f>
        <v>0</v>
      </c>
      <c r="N38" s="56">
        <f>IF('DGNB LCA Results'!$P$4=4,VLOOKUP('DGNB LCA Results'!$M$3,Use!$J$2:$Q$34,5,FALSE)*'DGNB LCA Results'!$N$3+VLOOKUP('DGNB LCA Results'!$K$3,Use!$J$2:$Q$34,5,FALSE)*'DGNB LCA Results'!$L$3+VLOOKUP('DGNB LCA Results'!$I$3,Use!$J$2:$Q$34,5,FALSE)*'DGNB LCA Results'!$J$3+VLOOKUP('DGNB LCA Results'!$G$3,Use!$J$2:$Q$34,5,FALSE)*'DGNB LCA Results'!$H$3,IF('DGNB LCA Results'!$P$4=3,VLOOKUP('DGNB LCA Results'!$M$3,Use!$J$2:$Q$34,5,FALSE)*'DGNB LCA Results'!$N$3+VLOOKUP('DGNB LCA Results'!$K$3,Use!$J$2:$Q$34,5,FALSE)*'DGNB LCA Results'!$L$3+VLOOKUP('DGNB LCA Results'!$I$3,Use!$J$2:$Q$34,5,FALSE)*'DGNB LCA Results'!$J$3,IF('DGNB LCA Results'!$P$4=2,VLOOKUP('DGNB LCA Results'!$M$3,Use!$J$2:$Q$34,5,FALSE)*'DGNB LCA Results'!$N$3+VLOOKUP('DGNB LCA Results'!$K$3,Use!$J$2:$Q$34,5,FALSE)*'DGNB LCA Results'!$L$3,IF('DGNB LCA Results'!$P$4=1,VLOOKUP('DGNB LCA Results'!$M$3,Use!$J$2:$Q$34,5,FALSE)*'DGNB LCA Results'!$N$3,0))))</f>
        <v>0</v>
      </c>
      <c r="O38" s="56">
        <f>IF('DGNB LCA Results'!$P$4=4,VLOOKUP('DGNB LCA Results'!$M$3,Use!$J$2:$Q$34,6,FALSE)*'DGNB LCA Results'!$N$3+VLOOKUP('DGNB LCA Results'!$K$3,Use!$J$2:$Q$34,6,FALSE)*'DGNB LCA Results'!$L$3+VLOOKUP('DGNB LCA Results'!$I$3,Use!$J$2:$Q$34,6,FALSE)*'DGNB LCA Results'!$J$3+VLOOKUP('DGNB LCA Results'!$G$3,Use!$J$2:$Q$34,6,FALSE)*'DGNB LCA Results'!$H$3,IF('DGNB LCA Results'!$P$4=3,VLOOKUP('DGNB LCA Results'!$M$3,Use!$J$2:$Q$34,6,FALSE)*'DGNB LCA Results'!$N$3+VLOOKUP('DGNB LCA Results'!$K$3,Use!$J$2:$Q$34,6,FALSE)*'DGNB LCA Results'!$L$3+VLOOKUP('DGNB LCA Results'!$I$3,Use!$J$2:$Q$34,6,FALSE)*'DGNB LCA Results'!$J$3,IF('DGNB LCA Results'!$P$4=2,VLOOKUP('DGNB LCA Results'!$M$3,Use!$J$2:$Q$34,6,FALSE)*'DGNB LCA Results'!$N$3+VLOOKUP('DGNB LCA Results'!$K$3,Use!$J$2:$Q$34,6,FALSE)*'DGNB LCA Results'!$L$3,IF('DGNB LCA Results'!$P$4=1,VLOOKUP('DGNB LCA Results'!$M$3,Use!$J$2:$Q$34,6,FALSE)*'DGNB LCA Results'!$N$3,0))))</f>
        <v>0</v>
      </c>
      <c r="P38" s="56">
        <f>IF('DGNB LCA Results'!$P$4=4,VLOOKUP('DGNB LCA Results'!$M$3,Use!$J$2:$Q$34,7,FALSE)*'DGNB LCA Results'!$N$3+VLOOKUP('DGNB LCA Results'!$K$3,Use!$J$2:$Q$34,7,FALSE)*'DGNB LCA Results'!$L$3+VLOOKUP('DGNB LCA Results'!$I$3,Use!$J$2:$Q$34,7,FALSE)*'DGNB LCA Results'!$J$3+VLOOKUP('DGNB LCA Results'!$G$3,Use!$J$2:$Q$34,7,FALSE)*'DGNB LCA Results'!$H$3,IF('DGNB LCA Results'!$P$4=3,VLOOKUP('DGNB LCA Results'!$M$3,Use!$J$2:$Q$34,7,FALSE)*'DGNB LCA Results'!$N$3+VLOOKUP('DGNB LCA Results'!$K$3,Use!$J$2:$Q$34,7,FALSE)*'DGNB LCA Results'!$L$3+VLOOKUP('DGNB LCA Results'!$I$3,Use!$J$2:$Q$34,7,FALSE)*'DGNB LCA Results'!$J$3,IF('DGNB LCA Results'!$P$4=2,VLOOKUP('DGNB LCA Results'!$M$3,Use!$J$2:$Q$34,7,FALSE)*'DGNB LCA Results'!$N$3+VLOOKUP('DGNB LCA Results'!$K$3,Use!$J$2:$Q$34,7,FALSE)*'DGNB LCA Results'!$L$3,IF('DGNB LCA Results'!$P$4=1,VLOOKUP('DGNB LCA Results'!$M$3,Use!$J$2:$Q$34,7,FALSE)*'DGNB LCA Results'!$N$3,0))))</f>
        <v>0</v>
      </c>
      <c r="Q38" s="56">
        <f>IF('DGNB LCA Results'!$P$4=4,VLOOKUP('DGNB LCA Results'!$M$3,Use!$J$2:$Q$34,8,FALSE)*'DGNB LCA Results'!$N$3+VLOOKUP('DGNB LCA Results'!$K$3,Use!$J$2:$Q$34,8,FALSE)*'DGNB LCA Results'!$L$3+VLOOKUP('DGNB LCA Results'!$I$3,Use!$J$2:$Q$34,8,FALSE)*'DGNB LCA Results'!$J$3+VLOOKUP('DGNB LCA Results'!$G$3,Use!$J$2:$Q$34,8,FALSE)*'DGNB LCA Results'!$H$3,IF('DGNB LCA Results'!$P$4=3,VLOOKUP('DGNB LCA Results'!$M$3,Use!$J$2:$Q$34,8,FALSE)*'DGNB LCA Results'!$N$3+VLOOKUP('DGNB LCA Results'!$K$3,Use!$J$2:$Q$34,8,FALSE)*'DGNB LCA Results'!$L$3+VLOOKUP('DGNB LCA Results'!$I$3,Use!$J$2:$Q$34,8,FALSE)*'DGNB LCA Results'!$J$3,IF('DGNB LCA Results'!$P$4=2,VLOOKUP('DGNB LCA Results'!$M$3,Use!$J$2:$Q$34,8,FALSE)*'DGNB LCA Results'!$N$3+VLOOKUP('DGNB LCA Results'!$K$3,Use!$J$2:$Q$34,8,FALSE)*'DGNB LCA Results'!$L$3,IF('DGNB LCA Results'!$P$4=1,VLOOKUP('DGNB LCA Results'!$M$3,Use!$J$2:$Q$34,8,FALSE)*'DGNB LCA Results'!$N$3,0))))</f>
        <v>0</v>
      </c>
      <c r="S38" s="256" t="s">
        <v>194</v>
      </c>
      <c r="T38" s="259">
        <f>IF('DGNB LCA Results'!$P$4=4,VLOOKUP('DGNB LCA Results'!$M$3,Use!$S$2:$Z$34,2,FALSE)*'DGNB LCA Results'!$N$3+VLOOKUP('DGNB LCA Results'!$K$3,Use!$S$2:$Z$34,2,FALSE)*'DGNB LCA Results'!$L$3+VLOOKUP('DGNB LCA Results'!$I$3,Use!$S$2:$Z$34,2,FALSE)*'DGNB LCA Results'!$J$3+VLOOKUP('DGNB LCA Results'!$G$3,Use!$S$2:$Z$34,2,FALSE)*'DGNB LCA Results'!$H$3,IF('DGNB LCA Results'!$P$4=3,VLOOKUP('DGNB LCA Results'!$M$3,Use!$S$2:$Z$34,2,FALSE)*'DGNB LCA Results'!$N$3+VLOOKUP('DGNB LCA Results'!$K$3,Use!$S$2:$Z$34,2,FALSE)*'DGNB LCA Results'!$L$3+VLOOKUP('DGNB LCA Results'!$I$3,Use!$S$2:$Z$34,2,FALSE)*'DGNB LCA Results'!$J$3,IF('DGNB LCA Results'!$P$4=2,VLOOKUP('DGNB LCA Results'!$M$3,Use!$S$2:$Z$34,2,FALSE)*'DGNB LCA Results'!$N$3+VLOOKUP('DGNB LCA Results'!$K$3,Use!$S$2:$Z$34,2,FALSE)*'DGNB LCA Results'!$L$3,IF('DGNB LCA Results'!$P$4=1,VLOOKUP('DGNB LCA Results'!$M$3,Use!$S$2:$Z$34,2,FALSE)*'DGNB LCA Results'!$N$3,0))))</f>
        <v>0</v>
      </c>
      <c r="U38" s="48">
        <f>IF('DGNB LCA Results'!$P$4=4,VLOOKUP('DGNB LCA Results'!$M$3,Use!$S$2:$Z$34,3,FALSE)*'DGNB LCA Results'!$N$3+VLOOKUP('DGNB LCA Results'!$K$3,Use!$S$2:$Z$34,3,FALSE)*'DGNB LCA Results'!$L$3+VLOOKUP('DGNB LCA Results'!$I$3,Use!$S$2:$Z$34,3,FALSE)*'DGNB LCA Results'!$J$3+VLOOKUP('DGNB LCA Results'!$G$3,Use!$S$2:$Z$34,3,FALSE)*'DGNB LCA Results'!$H$3,IF('DGNB LCA Results'!$P$4=3,VLOOKUP('DGNB LCA Results'!$M$3,Use!$S$2:$Z$34,3,FALSE)*'DGNB LCA Results'!$N$3+VLOOKUP('DGNB LCA Results'!$K$3,Use!$S$2:$Z$34,3,FALSE)*'DGNB LCA Results'!$L$3+VLOOKUP('DGNB LCA Results'!$I$3,Use!$S$2:$Z$34,3,FALSE)*'DGNB LCA Results'!$J$3,IF('DGNB LCA Results'!$P$4=2,VLOOKUP('DGNB LCA Results'!$M$3,Use!$S$2:$Z$34,3,FALSE)*'DGNB LCA Results'!$N$3+VLOOKUP('DGNB LCA Results'!$K$3,Use!$S$2:$Z$34,3,FALSE)*'DGNB LCA Results'!$L$3,IF('DGNB LCA Results'!$P$4=1,VLOOKUP('DGNB LCA Results'!$M$3,Use!$S$2:$Z$34,3,FALSE)*'DGNB LCA Results'!$N$3,0))))</f>
        <v>0</v>
      </c>
      <c r="V38" s="59">
        <f>IF('DGNB LCA Results'!$P$4=4,VLOOKUP('DGNB LCA Results'!$M$3,Use!$S$2:$Z$34,4,FALSE)*'DGNB LCA Results'!$N$3+VLOOKUP('DGNB LCA Results'!$K$3,Use!$S$2:$Z$34,4,FALSE)*'DGNB LCA Results'!$L$3+VLOOKUP('DGNB LCA Results'!$I$3,Use!$S$2:$Z$34,4,FALSE)*'DGNB LCA Results'!$J$3+VLOOKUP('DGNB LCA Results'!$G$3,Use!$S$2:$Z$34,4,FALSE)*'DGNB LCA Results'!$H$3,IF('DGNB LCA Results'!$P$4=3,VLOOKUP('DGNB LCA Results'!$M$3,Use!$S$2:$Z$34,4,FALSE)*'DGNB LCA Results'!$N$3+VLOOKUP('DGNB LCA Results'!$K$3,Use!$S$2:$Z$34,4,FALSE)*'DGNB LCA Results'!$L$3+VLOOKUP('DGNB LCA Results'!$I$3,Use!$S$2:$Z$34,4,FALSE)*'DGNB LCA Results'!$J$3,IF('DGNB LCA Results'!$P$4=2,VLOOKUP('DGNB LCA Results'!$M$3,Use!$S$2:$Z$34,4,FALSE)*'DGNB LCA Results'!$N$3+VLOOKUP('DGNB LCA Results'!$K$3,Use!$S$2:$Z$34,4,FALSE)*'DGNB LCA Results'!$L$3,IF('DGNB LCA Results'!$P$4=1,VLOOKUP('DGNB LCA Results'!$M$3,Use!$S$2:$Z$34,4,FALSE)*'DGNB LCA Results'!$N$3,0))))</f>
        <v>0</v>
      </c>
      <c r="W38" s="56">
        <f>IF('DGNB LCA Results'!$P$4=4,VLOOKUP('DGNB LCA Results'!$M$3,Use!$S$2:$Z$34,5,FALSE)*'DGNB LCA Results'!$N$3+VLOOKUP('DGNB LCA Results'!$K$3,Use!$S$2:$Z$34,5,FALSE)*'DGNB LCA Results'!$L$3+VLOOKUP('DGNB LCA Results'!$I$3,Use!$S$2:$Z$34,5,FALSE)*'DGNB LCA Results'!$J$3+VLOOKUP('DGNB LCA Results'!$G$3,Use!$S$2:$Z$34,5,FALSE)*'DGNB LCA Results'!$H$3,IF('DGNB LCA Results'!$P$4=3,VLOOKUP('DGNB LCA Results'!$M$3,Use!$S$2:$Z$34,5,FALSE)*'DGNB LCA Results'!$N$3+VLOOKUP('DGNB LCA Results'!$K$3,Use!$S$2:$Z$34,5,FALSE)*'DGNB LCA Results'!$L$3+VLOOKUP('DGNB LCA Results'!$I$3,Use!$S$2:$Z$34,5,FALSE)*'DGNB LCA Results'!$J$3,IF('DGNB LCA Results'!$P$4=2,VLOOKUP('DGNB LCA Results'!$M$3,Use!$S$2:$Z$34,5,FALSE)*'DGNB LCA Results'!$N$3+VLOOKUP('DGNB LCA Results'!$K$3,Use!$S$2:$Z$34,5,FALSE)*'DGNB LCA Results'!$L$3,IF('DGNB LCA Results'!$P$4=1,VLOOKUP('DGNB LCA Results'!$M$3,Use!$S$2:$Z$34,5,FALSE)*'DGNB LCA Results'!$N$3,0))))</f>
        <v>0</v>
      </c>
      <c r="X38" s="56">
        <f>IF('DGNB LCA Results'!$P$4=4,VLOOKUP('DGNB LCA Results'!$M$3,Use!$S$2:$Z$34,6,FALSE)*'DGNB LCA Results'!$N$3+VLOOKUP('DGNB LCA Results'!$K$3,Use!$S$2:$Z$34,6,FALSE)*'DGNB LCA Results'!$L$3+VLOOKUP('DGNB LCA Results'!$I$3,Use!$S$2:$Z$34,6,FALSE)*'DGNB LCA Results'!$J$3+VLOOKUP('DGNB LCA Results'!$G$3,Use!$S$2:$Z$34,6,FALSE)*'DGNB LCA Results'!$H$3,IF('DGNB LCA Results'!$P$4=3,VLOOKUP('DGNB LCA Results'!$M$3,Use!$S$2:$Z$34,6,FALSE)*'DGNB LCA Results'!$N$3+VLOOKUP('DGNB LCA Results'!$K$3,Use!$S$2:$Z$34,6,FALSE)*'DGNB LCA Results'!$L$3+VLOOKUP('DGNB LCA Results'!$I$3,Use!$S$2:$Z$34,6,FALSE)*'DGNB LCA Results'!$J$3,IF('DGNB LCA Results'!$P$4=2,VLOOKUP('DGNB LCA Results'!$M$3,Use!$S$2:$Z$34,6,FALSE)*'DGNB LCA Results'!$N$3+VLOOKUP('DGNB LCA Results'!$K$3,Use!$S$2:$Z$34,6,FALSE)*'DGNB LCA Results'!$L$3,IF('DGNB LCA Results'!$P$4=1,VLOOKUP('DGNB LCA Results'!$M$3,Use!$S$2:$Z$34,6,FALSE)*'DGNB LCA Results'!$N$3,0))))</f>
        <v>0</v>
      </c>
      <c r="Y38" s="56">
        <f>IF('DGNB LCA Results'!$P$4=4,VLOOKUP('DGNB LCA Results'!$M$3,Use!$S$2:$Z$34,7,FALSE)*'DGNB LCA Results'!$N$3+VLOOKUP('DGNB LCA Results'!$K$3,Use!$S$2:$Z$34,7,FALSE)*'DGNB LCA Results'!$L$3+VLOOKUP('DGNB LCA Results'!$I$3,Use!$S$2:$Z$34,7,FALSE)*'DGNB LCA Results'!$J$3+VLOOKUP('DGNB LCA Results'!$G$3,Use!$S$2:$Z$34,7,FALSE)*'DGNB LCA Results'!$H$3,IF('DGNB LCA Results'!$P$4=3,VLOOKUP('DGNB LCA Results'!$M$3,Use!$S$2:$Z$34,7,FALSE)*'DGNB LCA Results'!$N$3+VLOOKUP('DGNB LCA Results'!$K$3,Use!$S$2:$Z$34,7,FALSE)*'DGNB LCA Results'!$L$3+VLOOKUP('DGNB LCA Results'!$I$3,Use!$S$2:$Z$34,7,FALSE)*'DGNB LCA Results'!$J$3,IF('DGNB LCA Results'!$P$4=2,VLOOKUP('DGNB LCA Results'!$M$3,Use!$S$2:$Z$34,7,FALSE)*'DGNB LCA Results'!$N$3+VLOOKUP('DGNB LCA Results'!$K$3,Use!$S$2:$Z$34,7,FALSE)*'DGNB LCA Results'!$L$3,IF('DGNB LCA Results'!$P$4=1,VLOOKUP('DGNB LCA Results'!$M$3,Use!$S$2:$Z$34,7,FALSE)*'DGNB LCA Results'!$N$3,0))))</f>
        <v>0</v>
      </c>
      <c r="Z38" s="56">
        <f>IF('DGNB LCA Results'!$P$4=4,VLOOKUP('DGNB LCA Results'!$M$3,Use!$S$2:$Z$34,8,FALSE)*'DGNB LCA Results'!$N$3+VLOOKUP('DGNB LCA Results'!$K$3,Use!$S$2:$Z$34,8,FALSE)*'DGNB LCA Results'!$L$3+VLOOKUP('DGNB LCA Results'!$I$3,Use!$S$2:$Z$34,8,FALSE)*'DGNB LCA Results'!$J$3+VLOOKUP('DGNB LCA Results'!$G$3,Use!$S$2:$Z$34,8,FALSE)*'DGNB LCA Results'!$H$3,IF('DGNB LCA Results'!$P$4=3,VLOOKUP('DGNB LCA Results'!$M$3,Use!$S$2:$Z$34,8,FALSE)*'DGNB LCA Results'!$N$3+VLOOKUP('DGNB LCA Results'!$K$3,Use!$S$2:$Z$34,8,FALSE)*'DGNB LCA Results'!$L$3+VLOOKUP('DGNB LCA Results'!$I$3,Use!$S$2:$Z$34,8,FALSE)*'DGNB LCA Results'!$J$3,IF('DGNB LCA Results'!$P$4=2,VLOOKUP('DGNB LCA Results'!$M$3,Use!$S$2:$Z$34,8,FALSE)*'DGNB LCA Results'!$N$3+VLOOKUP('DGNB LCA Results'!$K$3,Use!$S$2:$Z$34,8,FALSE)*'DGNB LCA Results'!$L$3,IF('DGNB LCA Results'!$P$4=1,VLOOKUP('DGNB LCA Results'!$M$3,Use!$S$2:$Z$34,8,FALSE)*'DGNB LCA Results'!$N$3,0))))</f>
        <v>0</v>
      </c>
      <c r="AB38" s="256" t="s">
        <v>194</v>
      </c>
      <c r="AC38" s="259">
        <f>IF('DGNB LCA Results'!$P$4=4,VLOOKUP('DGNB LCA Results'!$M$3,Use!$AB$2:$AI$34,2,FALSE)*'DGNB LCA Results'!$N$3+VLOOKUP('DGNB LCA Results'!$K$3,Use!$AB$2:$AI$34,2,FALSE)*'DGNB LCA Results'!$L$3+VLOOKUP('DGNB LCA Results'!$I$3,Use!$AB$2:$AI$34,2,FALSE)*'DGNB LCA Results'!$J$3+VLOOKUP('DGNB LCA Results'!$G$3,Use!$AB$2:$AI$34,2,FALSE)*'DGNB LCA Results'!$H$3,IF('DGNB LCA Results'!$P$4=3,VLOOKUP('DGNB LCA Results'!$M$3,Use!$AB$2:$AI$34,2,FALSE)*'DGNB LCA Results'!$N$3+VLOOKUP('DGNB LCA Results'!$K$3,Use!$AB$2:$AI$34,2,FALSE)*'DGNB LCA Results'!$L$3+VLOOKUP('DGNB LCA Results'!$I$3,Use!$AB$2:$AI$34,2,FALSE)*'DGNB LCA Results'!$J$3,IF('DGNB LCA Results'!$P$4=2,VLOOKUP('DGNB LCA Results'!$M$3,Use!$AB$2:$AI$34,2,FALSE)*'DGNB LCA Results'!$N$3+VLOOKUP('DGNB LCA Results'!$K$3,Use!$AB$2:$AI$34,2,FALSE)*'DGNB LCA Results'!$L$3,IF('DGNB LCA Results'!$P$4=1,VLOOKUP('DGNB LCA Results'!$M$3,Use!$AB$2:$AI$34,2,FALSE)*'DGNB LCA Results'!$N$3,0))))</f>
        <v>0</v>
      </c>
      <c r="AD38" s="48">
        <f>IF('DGNB LCA Results'!$P$4=4,VLOOKUP('DGNB LCA Results'!$M$3,Use!$AB$2:$AI$34,3,FALSE)*'DGNB LCA Results'!$N$3+VLOOKUP('DGNB LCA Results'!$K$3,Use!$AB$2:$AI$34,3,FALSE)*'DGNB LCA Results'!$L$3+VLOOKUP('DGNB LCA Results'!$I$3,Use!$AB$2:$AI$34,3,FALSE)*'DGNB LCA Results'!$J$3+VLOOKUP('DGNB LCA Results'!$G$3,Use!$AB$2:$AI$34,3,FALSE)*'DGNB LCA Results'!$H$3,IF('DGNB LCA Results'!$P$4=3,VLOOKUP('DGNB LCA Results'!$M$3,Use!$AB$2:$AI$34,3,FALSE)*'DGNB LCA Results'!$N$3+VLOOKUP('DGNB LCA Results'!$K$3,Use!$AB$2:$AI$34,3,FALSE)*'DGNB LCA Results'!$L$3+VLOOKUP('DGNB LCA Results'!$I$3,Use!$AB$2:$AI$34,3,FALSE)*'DGNB LCA Results'!$J$3,IF('DGNB LCA Results'!$P$4=2,VLOOKUP('DGNB LCA Results'!$M$3,Use!$AB$2:$AI$34,3,FALSE)*'DGNB LCA Results'!$N$3+VLOOKUP('DGNB LCA Results'!$K$3,Use!$AB$2:$AI$34,3,FALSE)*'DGNB LCA Results'!$L$3,IF('DGNB LCA Results'!$P$4=1,VLOOKUP('DGNB LCA Results'!$M$3,Use!$AB$2:$AI$34,3,FALSE)*'DGNB LCA Results'!$N$3,0))))</f>
        <v>0</v>
      </c>
      <c r="AE38" s="59">
        <f>IF('DGNB LCA Results'!$P$4=4,VLOOKUP('DGNB LCA Results'!$M$3,Use!$AB$2:$AI$34,4,FALSE)*'DGNB LCA Results'!$N$3+VLOOKUP('DGNB LCA Results'!$K$3,Use!$AB$2:$AI$34,4,FALSE)*'DGNB LCA Results'!$L$3+VLOOKUP('DGNB LCA Results'!$I$3,Use!$AB$2:$AI$34,4,FALSE)*'DGNB LCA Results'!$J$3+VLOOKUP('DGNB LCA Results'!$G$3,Use!$AB$2:$AI$34,4,FALSE)*'DGNB LCA Results'!$H$3,IF('DGNB LCA Results'!$P$4=3,VLOOKUP('DGNB LCA Results'!$M$3,Use!$AB$2:$AI$34,4,FALSE)*'DGNB LCA Results'!$N$3+VLOOKUP('DGNB LCA Results'!$K$3,Use!$AB$2:$AI$34,4,FALSE)*'DGNB LCA Results'!$L$3+VLOOKUP('DGNB LCA Results'!$I$3,Use!$AB$2:$AI$34,4,FALSE)*'DGNB LCA Results'!$J$3,IF('DGNB LCA Results'!$P$4=2,VLOOKUP('DGNB LCA Results'!$M$3,Use!$AB$2:$AI$34,4,FALSE)*'DGNB LCA Results'!$N$3+VLOOKUP('DGNB LCA Results'!$K$3,Use!$AB$2:$AI$34,4,FALSE)*'DGNB LCA Results'!$L$3,IF('DGNB LCA Results'!$P$4=1,VLOOKUP('DGNB LCA Results'!$M$3,Use!$AB$2:$AI$34,4,FALSE)*'DGNB LCA Results'!$N$3,0))))</f>
        <v>0</v>
      </c>
      <c r="AF38" s="56">
        <f>IF('DGNB LCA Results'!$P$4=4,VLOOKUP('DGNB LCA Results'!$M$3,Use!$AB$2:$AI$34,5,FALSE)*'DGNB LCA Results'!$N$3+VLOOKUP('DGNB LCA Results'!$K$3,Use!$AB$2:$AI$34,5,FALSE)*'DGNB LCA Results'!$L$3+VLOOKUP('DGNB LCA Results'!$I$3,Use!$AB$2:$AI$34,5,FALSE)*'DGNB LCA Results'!$J$3+VLOOKUP('DGNB LCA Results'!$G$3,Use!$AB$2:$AI$34,5,FALSE)*'DGNB LCA Results'!$H$3,IF('DGNB LCA Results'!$P$4=3,VLOOKUP('DGNB LCA Results'!$M$3,Use!$AB$2:$AI$34,5,FALSE)*'DGNB LCA Results'!$N$3+VLOOKUP('DGNB LCA Results'!$K$3,Use!$AB$2:$AI$34,5,FALSE)*'DGNB LCA Results'!$L$3+VLOOKUP('DGNB LCA Results'!$I$3,Use!$AB$2:$AI$34,5,FALSE)*'DGNB LCA Results'!$J$3,IF('DGNB LCA Results'!$P$4=2,VLOOKUP('DGNB LCA Results'!$M$3,Use!$AB$2:$AI$34,5,FALSE)*'DGNB LCA Results'!$N$3+VLOOKUP('DGNB LCA Results'!$K$3,Use!$AB$2:$AI$34,5,FALSE)*'DGNB LCA Results'!$L$3,IF('DGNB LCA Results'!$P$4=1,VLOOKUP('DGNB LCA Results'!$M$3,Use!$AB$2:$AI$34,5,FALSE)*'DGNB LCA Results'!$N$3,0))))</f>
        <v>0</v>
      </c>
      <c r="AG38" s="56">
        <f>IF('DGNB LCA Results'!$P$4=4,VLOOKUP('DGNB LCA Results'!$M$3,Use!$AB$2:$AI$34,6,FALSE)*'DGNB LCA Results'!$N$3+VLOOKUP('DGNB LCA Results'!$K$3,Use!$AB$2:$AI$34,6,FALSE)*'DGNB LCA Results'!$L$3+VLOOKUP('DGNB LCA Results'!$I$3,Use!$AB$2:$AI$34,6,FALSE)*'DGNB LCA Results'!$J$3+VLOOKUP('DGNB LCA Results'!$G$3,Use!$AB$2:$AI$34,6,FALSE)*'DGNB LCA Results'!$H$3,IF('DGNB LCA Results'!$P$4=3,VLOOKUP('DGNB LCA Results'!$M$3,Use!$AB$2:$AI$34,6,FALSE)*'DGNB LCA Results'!$N$3+VLOOKUP('DGNB LCA Results'!$K$3,Use!$AB$2:$AI$34,6,FALSE)*'DGNB LCA Results'!$L$3+VLOOKUP('DGNB LCA Results'!$I$3,Use!$AB$2:$AI$34,6,FALSE)*'DGNB LCA Results'!$J$3,IF('DGNB LCA Results'!$P$4=2,VLOOKUP('DGNB LCA Results'!$M$3,Use!$AB$2:$AI$34,6,FALSE)*'DGNB LCA Results'!$N$3+VLOOKUP('DGNB LCA Results'!$K$3,Use!$AB$2:$AI$34,6,FALSE)*'DGNB LCA Results'!$L$3,IF('DGNB LCA Results'!$P$4=1,VLOOKUP('DGNB LCA Results'!$M$3,Use!$AB$2:$AI$34,6,FALSE)*'DGNB LCA Results'!$N$3,0))))</f>
        <v>0</v>
      </c>
      <c r="AH38" s="56">
        <f>IF('DGNB LCA Results'!$P$4=4,VLOOKUP('DGNB LCA Results'!$M$3,Use!$AB$2:$AI$34,7,FALSE)*'DGNB LCA Results'!$N$3+VLOOKUP('DGNB LCA Results'!$K$3,Use!$AB$2:$AI$34,7,FALSE)*'DGNB LCA Results'!$L$3+VLOOKUP('DGNB LCA Results'!$I$3,Use!$AB$2:$AI$34,7,FALSE)*'DGNB LCA Results'!$J$3+VLOOKUP('DGNB LCA Results'!$G$3,Use!$AB$2:$AI$34,7,FALSE)*'DGNB LCA Results'!$H$3,IF('DGNB LCA Results'!$P$4=3,VLOOKUP('DGNB LCA Results'!$M$3,Use!$AB$2:$AI$34,7,FALSE)*'DGNB LCA Results'!$N$3+VLOOKUP('DGNB LCA Results'!$K$3,Use!$AB$2:$AI$34,7,FALSE)*'DGNB LCA Results'!$L$3+VLOOKUP('DGNB LCA Results'!$I$3,Use!$AB$2:$AI$34,7,FALSE)*'DGNB LCA Results'!$J$3,IF('DGNB LCA Results'!$P$4=2,VLOOKUP('DGNB LCA Results'!$M$3,Use!$AB$2:$AI$34,7,FALSE)*'DGNB LCA Results'!$N$3+VLOOKUP('DGNB LCA Results'!$K$3,Use!$AB$2:$AI$34,7,FALSE)*'DGNB LCA Results'!$L$3,IF('DGNB LCA Results'!$P$4=1,VLOOKUP('DGNB LCA Results'!$M$3,Use!$AB$2:$AI$34,7,FALSE)*'DGNB LCA Results'!$N$3,0))))</f>
        <v>0</v>
      </c>
      <c r="AI38" s="56">
        <f>IF('DGNB LCA Results'!$P$4=4,VLOOKUP('DGNB LCA Results'!$M$3,Use!$AB$2:$AI$34,8,FALSE)*'DGNB LCA Results'!$N$3+VLOOKUP('DGNB LCA Results'!$K$3,Use!$AB$2:$AI$34,8,FALSE)*'DGNB LCA Results'!$L$3+VLOOKUP('DGNB LCA Results'!$I$3,Use!$AB$2:$AI$34,8,FALSE)*'DGNB LCA Results'!$J$3+VLOOKUP('DGNB LCA Results'!$G$3,Use!$AB$2:$AI$34,8,FALSE)*'DGNB LCA Results'!$H$3,IF('DGNB LCA Results'!$P$4=3,VLOOKUP('DGNB LCA Results'!$M$3,Use!$AB$2:$AI$34,8,FALSE)*'DGNB LCA Results'!$N$3+VLOOKUP('DGNB LCA Results'!$K$3,Use!$AB$2:$AI$34,8,FALSE)*'DGNB LCA Results'!$L$3+VLOOKUP('DGNB LCA Results'!$I$3,Use!$AB$2:$AI$34,8,FALSE)*'DGNB LCA Results'!$J$3,IF('DGNB LCA Results'!$P$4=2,VLOOKUP('DGNB LCA Results'!$M$3,Use!$AB$2:$AI$34,8,FALSE)*'DGNB LCA Results'!$N$3+VLOOKUP('DGNB LCA Results'!$K$3,Use!$AB$2:$AI$34,8,FALSE)*'DGNB LCA Results'!$L$3,IF('DGNB LCA Results'!$P$4=1,VLOOKUP('DGNB LCA Results'!$M$3,Use!$AB$2:$AI$34,8,FALSE)*'DGNB LCA Results'!$N$3,0))))</f>
        <v>0</v>
      </c>
    </row>
    <row r="39" spans="1:35" ht="16" x14ac:dyDescent="0.2">
      <c r="A39" s="256" t="s">
        <v>192</v>
      </c>
      <c r="B39" s="259">
        <f>IF('DGNB LCA Results'!$P$4=4,VLOOKUP('DGNB LCA Results'!$M$3,Use!$A$2:$H$34,2,FALSE)*'DGNB LCA Results'!$N$3+VLOOKUP('DGNB LCA Results'!$K$3,Use!$A$2:$H$34,2,FALSE)*'DGNB LCA Results'!$L$3+VLOOKUP('DGNB LCA Results'!$I$3,Use!$A$2:$H$34,2,FALSE)*'DGNB LCA Results'!$J$3+VLOOKUP('DGNB LCA Results'!$G$3,Use!$A$2:$H$34,2,FALSE)*'DGNB LCA Results'!$H$3,IF('DGNB LCA Results'!$P$4=3,VLOOKUP('DGNB LCA Results'!$M$3,Use!$A$2:$H$34,2,FALSE)*'DGNB LCA Results'!$N$3+VLOOKUP('DGNB LCA Results'!$K$3,Use!$A$2:$H$34,2,FALSE)*'DGNB LCA Results'!$L$3+VLOOKUP('DGNB LCA Results'!$I$3,Use!$A$2:$H$34,2,FALSE)*'DGNB LCA Results'!$J$3,IF('DGNB LCA Results'!$P$4=2,VLOOKUP('DGNB LCA Results'!$M$3,Use!$A$2:$H$34,2,FALSE)*'DGNB LCA Results'!$N$3+VLOOKUP('DGNB LCA Results'!$K$3,Use!$A$2:$H$34,2,FALSE)*'DGNB LCA Results'!$L$3,IF('DGNB LCA Results'!$P$4=1,VLOOKUP('DGNB LCA Results'!$M$3,Use!$A$2:$H$34,2,FALSE)*'DGNB LCA Results'!$N$3,0))))</f>
        <v>0</v>
      </c>
      <c r="C39" s="48">
        <f>IF('DGNB LCA Results'!$P$4=4,VLOOKUP('DGNB LCA Results'!$M$3,Use!$A$2:$H$34,3,FALSE)*'DGNB LCA Results'!$N$3+VLOOKUP('DGNB LCA Results'!$K$3,Use!$A$2:$H$34,3,FALSE)*'DGNB LCA Results'!$L$3+VLOOKUP('DGNB LCA Results'!$I$3,Use!$A$2:$H$34,3,FALSE)*'DGNB LCA Results'!$J$3+VLOOKUP('DGNB LCA Results'!$G$3,Use!$A$2:$H$34,3,FALSE)*'DGNB LCA Results'!$H$3,IF('DGNB LCA Results'!$P$4=3,VLOOKUP('DGNB LCA Results'!$M$3,Use!$A$2:$H$34,3,FALSE)*'DGNB LCA Results'!$N$3+VLOOKUP('DGNB LCA Results'!$K$3,Use!$A$2:$H$34,3,FALSE)*'DGNB LCA Results'!$L$3+VLOOKUP('DGNB LCA Results'!$I$3,Use!$A$2:$H$34,3,FALSE)*'DGNB LCA Results'!$J$3,IF('DGNB LCA Results'!$P$4=2,VLOOKUP('DGNB LCA Results'!$M$3,Use!$A$2:$H$34,3,FALSE)*'DGNB LCA Results'!$N$3+VLOOKUP('DGNB LCA Results'!$K$3,Use!$A$2:$H$34,3,FALSE)*'DGNB LCA Results'!$L$3,IF('DGNB LCA Results'!$P$4=1,VLOOKUP('DGNB LCA Results'!$M$3,Use!$A$2:$H$34,3,FALSE)*'DGNB LCA Results'!$N$3,0))))</f>
        <v>0</v>
      </c>
      <c r="D39" s="59">
        <f>IF('DGNB LCA Results'!$P$4=4,VLOOKUP('DGNB LCA Results'!$M$3,Use!$A$2:$H$34,4,FALSE)*'DGNB LCA Results'!$N$3+VLOOKUP('DGNB LCA Results'!$K$3,Use!$A$2:$H$34,4,FALSE)*'DGNB LCA Results'!$L$3+VLOOKUP('DGNB LCA Results'!$I$3,Use!$A$2:$H$34,4,FALSE)*'DGNB LCA Results'!$J$3+VLOOKUP('DGNB LCA Results'!$G$3,Use!$A$2:$H$34,4,FALSE)*'DGNB LCA Results'!$H$3,IF('DGNB LCA Results'!$P$4=3,VLOOKUP('DGNB LCA Results'!$M$3,Use!$A$2:$H$34,4,FALSE)*'DGNB LCA Results'!$N$3+VLOOKUP('DGNB LCA Results'!$K$3,Use!$A$2:$H$34,4,FALSE)*'DGNB LCA Results'!$L$3+VLOOKUP('DGNB LCA Results'!$I$3,Use!$A$2:$H$34,4,FALSE)*'DGNB LCA Results'!$J$3,IF('DGNB LCA Results'!$P$4=2,VLOOKUP('DGNB LCA Results'!$M$3,Use!$A$2:$H$34,4,FALSE)*'DGNB LCA Results'!$N$3+VLOOKUP('DGNB LCA Results'!$K$3,Use!$A$2:$H$34,4,FALSE)*'DGNB LCA Results'!$L$3,IF('DGNB LCA Results'!$P$4=1,VLOOKUP('DGNB LCA Results'!$M$3,Use!$A$2:$H$34,4,FALSE)*'DGNB LCA Results'!$N$3,0))))</f>
        <v>0</v>
      </c>
      <c r="E39" s="56">
        <f>IF('DGNB LCA Results'!$P$4=4,VLOOKUP('DGNB LCA Results'!$M$3,Use!$A$2:$H$34,5,FALSE)*'DGNB LCA Results'!$N$3+VLOOKUP('DGNB LCA Results'!$K$3,Use!$A$2:$H$34,5,FALSE)*'DGNB LCA Results'!$L$3+VLOOKUP('DGNB LCA Results'!$I$3,Use!$A$2:$H$34,5,FALSE)*'DGNB LCA Results'!$J$3+VLOOKUP('DGNB LCA Results'!$G$3,Use!$A$2:$H$34,5,FALSE)*'DGNB LCA Results'!$H$3,IF('DGNB LCA Results'!$P$4=3,VLOOKUP('DGNB LCA Results'!$M$3,Use!$A$2:$H$34,5,FALSE)*'DGNB LCA Results'!$N$3+VLOOKUP('DGNB LCA Results'!$K$3,Use!$A$2:$H$34,5,FALSE)*'DGNB LCA Results'!$L$3+VLOOKUP('DGNB LCA Results'!$I$3,Use!$A$2:$H$34,5,FALSE)*'DGNB LCA Results'!$J$3,IF('DGNB LCA Results'!$P$4=2,VLOOKUP('DGNB LCA Results'!$M$3,Use!$A$2:$H$34,5,FALSE)*'DGNB LCA Results'!$N$3+VLOOKUP('DGNB LCA Results'!$K$3,Use!$A$2:$H$34,5,FALSE)*'DGNB LCA Results'!$L$3,IF('DGNB LCA Results'!$P$4=1,VLOOKUP('DGNB LCA Results'!$M$3,Use!$A$2:$H$34,5,FALSE)*'DGNB LCA Results'!$N$3,0))))</f>
        <v>0</v>
      </c>
      <c r="F39" s="56">
        <f>IF('DGNB LCA Results'!$P$4=4,VLOOKUP('DGNB LCA Results'!$M$3,Use!$A$2:$H$34,6,FALSE)*'DGNB LCA Results'!$N$3+VLOOKUP('DGNB LCA Results'!$K$3,Use!$A$2:$H$34,6,FALSE)*'DGNB LCA Results'!$L$3+VLOOKUP('DGNB LCA Results'!$I$3,Use!$A$2:$H$34,6,FALSE)*'DGNB LCA Results'!$J$3+VLOOKUP('DGNB LCA Results'!$G$3,Use!$A$2:$H$34,6,FALSE)*'DGNB LCA Results'!$H$3,IF('DGNB LCA Results'!$P$4=3,VLOOKUP('DGNB LCA Results'!$M$3,Use!$A$2:$H$34,6,FALSE)*'DGNB LCA Results'!$N$3+VLOOKUP('DGNB LCA Results'!$K$3,Use!$A$2:$H$34,6,FALSE)*'DGNB LCA Results'!$L$3+VLOOKUP('DGNB LCA Results'!$I$3,Use!$A$2:$H$34,6,FALSE)*'DGNB LCA Results'!$J$3,IF('DGNB LCA Results'!$P$4=2,VLOOKUP('DGNB LCA Results'!$M$3,Use!$A$2:$H$34,6,FALSE)*'DGNB LCA Results'!$N$3+VLOOKUP('DGNB LCA Results'!$K$3,Use!$A$2:$H$34,6,FALSE)*'DGNB LCA Results'!$L$3,IF('DGNB LCA Results'!$P$4=1,VLOOKUP('DGNB LCA Results'!$M$3,Use!$A$2:$H$34,6,FALSE)*'DGNB LCA Results'!$N$3,0))))</f>
        <v>0</v>
      </c>
      <c r="G39" s="56">
        <f>IF('DGNB LCA Results'!$P$4=4,VLOOKUP('DGNB LCA Results'!$M$3,Use!$A$2:$H$34,7,FALSE)*'DGNB LCA Results'!$N$3+VLOOKUP('DGNB LCA Results'!$K$3,Use!$A$2:$H$34,7,FALSE)*'DGNB LCA Results'!$L$3+VLOOKUP('DGNB LCA Results'!$I$3,Use!$A$2:$H$34,7,FALSE)*'DGNB LCA Results'!$J$3+VLOOKUP('DGNB LCA Results'!$G$3,Use!$A$2:$H$34,7,FALSE)*'DGNB LCA Results'!$H$3,IF('DGNB LCA Results'!$P$4=3,VLOOKUP('DGNB LCA Results'!$M$3,Use!$A$2:$H$34,7,FALSE)*'DGNB LCA Results'!$N$3+VLOOKUP('DGNB LCA Results'!$K$3,Use!$A$2:$H$34,7,FALSE)*'DGNB LCA Results'!$L$3+VLOOKUP('DGNB LCA Results'!$I$3,Use!$A$2:$H$34,7,FALSE)*'DGNB LCA Results'!$J$3,IF('DGNB LCA Results'!$P$4=2,VLOOKUP('DGNB LCA Results'!$M$3,Use!$A$2:$H$34,7,FALSE)*'DGNB LCA Results'!$N$3+VLOOKUP('DGNB LCA Results'!$K$3,Use!$A$2:$H$34,7,FALSE)*'DGNB LCA Results'!$L$3,IF('DGNB LCA Results'!$P$4=1,VLOOKUP('DGNB LCA Results'!$M$3,Use!$A$2:$H$34,7,FALSE)*'DGNB LCA Results'!$N$3,0))))</f>
        <v>0</v>
      </c>
      <c r="H39" s="56">
        <f>IF('DGNB LCA Results'!$P$4=4,VLOOKUP('DGNB LCA Results'!$M$3,Use!$A$2:$H$34,8,FALSE)*'DGNB LCA Results'!$N$3+VLOOKUP('DGNB LCA Results'!$K$3,Use!$A$2:$H$34,8,FALSE)*'DGNB LCA Results'!$L$3+VLOOKUP('DGNB LCA Results'!$I$3,Use!$A$2:$H$34,8,FALSE)*'DGNB LCA Results'!$J$3+VLOOKUP('DGNB LCA Results'!$G$3,Use!$A$2:$H$34,8,FALSE)*'DGNB LCA Results'!$H$3,IF('DGNB LCA Results'!$P$4=3,VLOOKUP('DGNB LCA Results'!$M$3,Use!$A$2:$H$34,8,FALSE)*'DGNB LCA Results'!$N$3+VLOOKUP('DGNB LCA Results'!$K$3,Use!$A$2:$H$34,8,FALSE)*'DGNB LCA Results'!$L$3+VLOOKUP('DGNB LCA Results'!$I$3,Use!$A$2:$H$34,8,FALSE)*'DGNB LCA Results'!$J$3,IF('DGNB LCA Results'!$P$4=2,VLOOKUP('DGNB LCA Results'!$M$3,Use!$A$2:$H$34,8,FALSE)*'DGNB LCA Results'!$N$3+VLOOKUP('DGNB LCA Results'!$K$3,Use!$A$2:$H$34,8,FALSE)*'DGNB LCA Results'!$L$3,IF('DGNB LCA Results'!$P$4=1,VLOOKUP('DGNB LCA Results'!$M$3,Use!$A$2:$H$34,8,FALSE)*'DGNB LCA Results'!$N$3,0))))</f>
        <v>0</v>
      </c>
      <c r="J39" s="256" t="s">
        <v>192</v>
      </c>
      <c r="K39" s="259">
        <f>IF('DGNB LCA Results'!$P$4=4,VLOOKUP('DGNB LCA Results'!$M$3,Use!$J$2:$Q$34,2,FALSE)*'DGNB LCA Results'!$N$3+VLOOKUP('DGNB LCA Results'!$K$3,Use!$J$2:$Q$34,2,FALSE)*'DGNB LCA Results'!$L$3+VLOOKUP('DGNB LCA Results'!$I$3,Use!$J$2:$Q$34,2,FALSE)*'DGNB LCA Results'!$J$3+VLOOKUP('DGNB LCA Results'!$G$3,Use!$J$2:$Q$34,2,FALSE)*'DGNB LCA Results'!$H$3,IF('DGNB LCA Results'!$P$4=3,VLOOKUP('DGNB LCA Results'!$M$3,Use!$J$2:$Q$34,2,FALSE)*'DGNB LCA Results'!$N$3+VLOOKUP('DGNB LCA Results'!$K$3,Use!$J$2:$Q$34,2,FALSE)*'DGNB LCA Results'!$L$3+VLOOKUP('DGNB LCA Results'!$I$3,Use!$J$2:$Q$34,2,FALSE)*'DGNB LCA Results'!$J$3,IF('DGNB LCA Results'!$P$4=2,VLOOKUP('DGNB LCA Results'!$M$3,Use!$J$2:$Q$34,2,FALSE)*'DGNB LCA Results'!$N$3+VLOOKUP('DGNB LCA Results'!$K$3,Use!$J$2:$Q$34,2,FALSE)*'DGNB LCA Results'!$L$3,IF('DGNB LCA Results'!$P$4=1,VLOOKUP('DGNB LCA Results'!$M$3,Use!$J$2:$Q$34,2,FALSE)*'DGNB LCA Results'!$N$3,0))))</f>
        <v>0</v>
      </c>
      <c r="L39" s="48">
        <f>IF('DGNB LCA Results'!$P$4=4,VLOOKUP('DGNB LCA Results'!$M$3,Use!$J$2:$Q$34,3,FALSE)*'DGNB LCA Results'!$N$3+VLOOKUP('DGNB LCA Results'!$K$3,Use!$J$2:$Q$34,3,FALSE)*'DGNB LCA Results'!$L$3+VLOOKUP('DGNB LCA Results'!$I$3,Use!$J$2:$Q$34,3,FALSE)*'DGNB LCA Results'!$J$3+VLOOKUP('DGNB LCA Results'!$G$3,Use!$J$2:$Q$34,3,FALSE)*'DGNB LCA Results'!$H$3,IF('DGNB LCA Results'!$P$4=3,VLOOKUP('DGNB LCA Results'!$M$3,Use!$J$2:$Q$34,3,FALSE)*'DGNB LCA Results'!$N$3+VLOOKUP('DGNB LCA Results'!$K$3,Use!$J$2:$Q$34,3,FALSE)*'DGNB LCA Results'!$L$3+VLOOKUP('DGNB LCA Results'!$I$3,Use!$J$2:$Q$34,3,FALSE)*'DGNB LCA Results'!$J$3,IF('DGNB LCA Results'!$P$4=2,VLOOKUP('DGNB LCA Results'!$M$3,Use!$J$2:$Q$34,3,FALSE)*'DGNB LCA Results'!$N$3+VLOOKUP('DGNB LCA Results'!$K$3,Use!$J$2:$Q$34,3,FALSE)*'DGNB LCA Results'!$L$3,IF('DGNB LCA Results'!$P$4=1,VLOOKUP('DGNB LCA Results'!$M$3,Use!$J$2:$Q$34,3,FALSE)*'DGNB LCA Results'!$N$3,0))))</f>
        <v>0</v>
      </c>
      <c r="M39" s="59">
        <f>IF('DGNB LCA Results'!$P$4=4,VLOOKUP('DGNB LCA Results'!$M$3,Use!$J$2:$Q$34,4,FALSE)*'DGNB LCA Results'!$N$3+VLOOKUP('DGNB LCA Results'!$K$3,Use!$J$2:$Q$34,4,FALSE)*'DGNB LCA Results'!$L$3+VLOOKUP('DGNB LCA Results'!$I$3,Use!$J$2:$Q$34,4,FALSE)*'DGNB LCA Results'!$J$3+VLOOKUP('DGNB LCA Results'!$G$3,Use!$J$2:$Q$34,4,FALSE)*'DGNB LCA Results'!$H$3,IF('DGNB LCA Results'!$P$4=3,VLOOKUP('DGNB LCA Results'!$M$3,Use!$J$2:$Q$34,4,FALSE)*'DGNB LCA Results'!$N$3+VLOOKUP('DGNB LCA Results'!$K$3,Use!$J$2:$Q$34,4,FALSE)*'DGNB LCA Results'!$L$3+VLOOKUP('DGNB LCA Results'!$I$3,Use!$J$2:$Q$34,4,FALSE)*'DGNB LCA Results'!$J$3,IF('DGNB LCA Results'!$P$4=2,VLOOKUP('DGNB LCA Results'!$M$3,Use!$J$2:$Q$34,4,FALSE)*'DGNB LCA Results'!$N$3+VLOOKUP('DGNB LCA Results'!$K$3,Use!$J$2:$Q$34,4,FALSE)*'DGNB LCA Results'!$L$3,IF('DGNB LCA Results'!$P$4=1,VLOOKUP('DGNB LCA Results'!$M$3,Use!$J$2:$Q$34,4,FALSE)*'DGNB LCA Results'!$N$3,0))))</f>
        <v>0</v>
      </c>
      <c r="N39" s="56">
        <f>IF('DGNB LCA Results'!$P$4=4,VLOOKUP('DGNB LCA Results'!$M$3,Use!$J$2:$Q$34,5,FALSE)*'DGNB LCA Results'!$N$3+VLOOKUP('DGNB LCA Results'!$K$3,Use!$J$2:$Q$34,5,FALSE)*'DGNB LCA Results'!$L$3+VLOOKUP('DGNB LCA Results'!$I$3,Use!$J$2:$Q$34,5,FALSE)*'DGNB LCA Results'!$J$3+VLOOKUP('DGNB LCA Results'!$G$3,Use!$J$2:$Q$34,5,FALSE)*'DGNB LCA Results'!$H$3,IF('DGNB LCA Results'!$P$4=3,VLOOKUP('DGNB LCA Results'!$M$3,Use!$J$2:$Q$34,5,FALSE)*'DGNB LCA Results'!$N$3+VLOOKUP('DGNB LCA Results'!$K$3,Use!$J$2:$Q$34,5,FALSE)*'DGNB LCA Results'!$L$3+VLOOKUP('DGNB LCA Results'!$I$3,Use!$J$2:$Q$34,5,FALSE)*'DGNB LCA Results'!$J$3,IF('DGNB LCA Results'!$P$4=2,VLOOKUP('DGNB LCA Results'!$M$3,Use!$J$2:$Q$34,5,FALSE)*'DGNB LCA Results'!$N$3+VLOOKUP('DGNB LCA Results'!$K$3,Use!$J$2:$Q$34,5,FALSE)*'DGNB LCA Results'!$L$3,IF('DGNB LCA Results'!$P$4=1,VLOOKUP('DGNB LCA Results'!$M$3,Use!$J$2:$Q$34,5,FALSE)*'DGNB LCA Results'!$N$3,0))))</f>
        <v>0</v>
      </c>
      <c r="O39" s="56">
        <f>IF('DGNB LCA Results'!$P$4=4,VLOOKUP('DGNB LCA Results'!$M$3,Use!$J$2:$Q$34,6,FALSE)*'DGNB LCA Results'!$N$3+VLOOKUP('DGNB LCA Results'!$K$3,Use!$J$2:$Q$34,6,FALSE)*'DGNB LCA Results'!$L$3+VLOOKUP('DGNB LCA Results'!$I$3,Use!$J$2:$Q$34,6,FALSE)*'DGNB LCA Results'!$J$3+VLOOKUP('DGNB LCA Results'!$G$3,Use!$J$2:$Q$34,6,FALSE)*'DGNB LCA Results'!$H$3,IF('DGNB LCA Results'!$P$4=3,VLOOKUP('DGNB LCA Results'!$M$3,Use!$J$2:$Q$34,6,FALSE)*'DGNB LCA Results'!$N$3+VLOOKUP('DGNB LCA Results'!$K$3,Use!$J$2:$Q$34,6,FALSE)*'DGNB LCA Results'!$L$3+VLOOKUP('DGNB LCA Results'!$I$3,Use!$J$2:$Q$34,6,FALSE)*'DGNB LCA Results'!$J$3,IF('DGNB LCA Results'!$P$4=2,VLOOKUP('DGNB LCA Results'!$M$3,Use!$J$2:$Q$34,6,FALSE)*'DGNB LCA Results'!$N$3+VLOOKUP('DGNB LCA Results'!$K$3,Use!$J$2:$Q$34,6,FALSE)*'DGNB LCA Results'!$L$3,IF('DGNB LCA Results'!$P$4=1,VLOOKUP('DGNB LCA Results'!$M$3,Use!$J$2:$Q$34,6,FALSE)*'DGNB LCA Results'!$N$3,0))))</f>
        <v>0</v>
      </c>
      <c r="P39" s="56">
        <f>IF('DGNB LCA Results'!$P$4=4,VLOOKUP('DGNB LCA Results'!$M$3,Use!$J$2:$Q$34,7,FALSE)*'DGNB LCA Results'!$N$3+VLOOKUP('DGNB LCA Results'!$K$3,Use!$J$2:$Q$34,7,FALSE)*'DGNB LCA Results'!$L$3+VLOOKUP('DGNB LCA Results'!$I$3,Use!$J$2:$Q$34,7,FALSE)*'DGNB LCA Results'!$J$3+VLOOKUP('DGNB LCA Results'!$G$3,Use!$J$2:$Q$34,7,FALSE)*'DGNB LCA Results'!$H$3,IF('DGNB LCA Results'!$P$4=3,VLOOKUP('DGNB LCA Results'!$M$3,Use!$J$2:$Q$34,7,FALSE)*'DGNB LCA Results'!$N$3+VLOOKUP('DGNB LCA Results'!$K$3,Use!$J$2:$Q$34,7,FALSE)*'DGNB LCA Results'!$L$3+VLOOKUP('DGNB LCA Results'!$I$3,Use!$J$2:$Q$34,7,FALSE)*'DGNB LCA Results'!$J$3,IF('DGNB LCA Results'!$P$4=2,VLOOKUP('DGNB LCA Results'!$M$3,Use!$J$2:$Q$34,7,FALSE)*'DGNB LCA Results'!$N$3+VLOOKUP('DGNB LCA Results'!$K$3,Use!$J$2:$Q$34,7,FALSE)*'DGNB LCA Results'!$L$3,IF('DGNB LCA Results'!$P$4=1,VLOOKUP('DGNB LCA Results'!$M$3,Use!$J$2:$Q$34,7,FALSE)*'DGNB LCA Results'!$N$3,0))))</f>
        <v>0</v>
      </c>
      <c r="Q39" s="56">
        <f>IF('DGNB LCA Results'!$P$4=4,VLOOKUP('DGNB LCA Results'!$M$3,Use!$J$2:$Q$34,8,FALSE)*'DGNB LCA Results'!$N$3+VLOOKUP('DGNB LCA Results'!$K$3,Use!$J$2:$Q$34,8,FALSE)*'DGNB LCA Results'!$L$3+VLOOKUP('DGNB LCA Results'!$I$3,Use!$J$2:$Q$34,8,FALSE)*'DGNB LCA Results'!$J$3+VLOOKUP('DGNB LCA Results'!$G$3,Use!$J$2:$Q$34,8,FALSE)*'DGNB LCA Results'!$H$3,IF('DGNB LCA Results'!$P$4=3,VLOOKUP('DGNB LCA Results'!$M$3,Use!$J$2:$Q$34,8,FALSE)*'DGNB LCA Results'!$N$3+VLOOKUP('DGNB LCA Results'!$K$3,Use!$J$2:$Q$34,8,FALSE)*'DGNB LCA Results'!$L$3+VLOOKUP('DGNB LCA Results'!$I$3,Use!$J$2:$Q$34,8,FALSE)*'DGNB LCA Results'!$J$3,IF('DGNB LCA Results'!$P$4=2,VLOOKUP('DGNB LCA Results'!$M$3,Use!$J$2:$Q$34,8,FALSE)*'DGNB LCA Results'!$N$3+VLOOKUP('DGNB LCA Results'!$K$3,Use!$J$2:$Q$34,8,FALSE)*'DGNB LCA Results'!$L$3,IF('DGNB LCA Results'!$P$4=1,VLOOKUP('DGNB LCA Results'!$M$3,Use!$J$2:$Q$34,8,FALSE)*'DGNB LCA Results'!$N$3,0))))</f>
        <v>0</v>
      </c>
      <c r="S39" s="256" t="s">
        <v>192</v>
      </c>
      <c r="T39" s="259">
        <f>IF('DGNB LCA Results'!$P$4=4,VLOOKUP('DGNB LCA Results'!$M$3,Use!$S$2:$Z$34,2,FALSE)*'DGNB LCA Results'!$N$3+VLOOKUP('DGNB LCA Results'!$K$3,Use!$S$2:$Z$34,2,FALSE)*'DGNB LCA Results'!$L$3+VLOOKUP('DGNB LCA Results'!$I$3,Use!$S$2:$Z$34,2,FALSE)*'DGNB LCA Results'!$J$3+VLOOKUP('DGNB LCA Results'!$G$3,Use!$S$2:$Z$34,2,FALSE)*'DGNB LCA Results'!$H$3,IF('DGNB LCA Results'!$P$4=3,VLOOKUP('DGNB LCA Results'!$M$3,Use!$S$2:$Z$34,2,FALSE)*'DGNB LCA Results'!$N$3+VLOOKUP('DGNB LCA Results'!$K$3,Use!$S$2:$Z$34,2,FALSE)*'DGNB LCA Results'!$L$3+VLOOKUP('DGNB LCA Results'!$I$3,Use!$S$2:$Z$34,2,FALSE)*'DGNB LCA Results'!$J$3,IF('DGNB LCA Results'!$P$4=2,VLOOKUP('DGNB LCA Results'!$M$3,Use!$S$2:$Z$34,2,FALSE)*'DGNB LCA Results'!$N$3+VLOOKUP('DGNB LCA Results'!$K$3,Use!$S$2:$Z$34,2,FALSE)*'DGNB LCA Results'!$L$3,IF('DGNB LCA Results'!$P$4=1,VLOOKUP('DGNB LCA Results'!$M$3,Use!$S$2:$Z$34,2,FALSE)*'DGNB LCA Results'!$N$3,0))))</f>
        <v>0</v>
      </c>
      <c r="U39" s="48">
        <f>IF('DGNB LCA Results'!$P$4=4,VLOOKUP('DGNB LCA Results'!$M$3,Use!$S$2:$Z$34,3,FALSE)*'DGNB LCA Results'!$N$3+VLOOKUP('DGNB LCA Results'!$K$3,Use!$S$2:$Z$34,3,FALSE)*'DGNB LCA Results'!$L$3+VLOOKUP('DGNB LCA Results'!$I$3,Use!$S$2:$Z$34,3,FALSE)*'DGNB LCA Results'!$J$3+VLOOKUP('DGNB LCA Results'!$G$3,Use!$S$2:$Z$34,3,FALSE)*'DGNB LCA Results'!$H$3,IF('DGNB LCA Results'!$P$4=3,VLOOKUP('DGNB LCA Results'!$M$3,Use!$S$2:$Z$34,3,FALSE)*'DGNB LCA Results'!$N$3+VLOOKUP('DGNB LCA Results'!$K$3,Use!$S$2:$Z$34,3,FALSE)*'DGNB LCA Results'!$L$3+VLOOKUP('DGNB LCA Results'!$I$3,Use!$S$2:$Z$34,3,FALSE)*'DGNB LCA Results'!$J$3,IF('DGNB LCA Results'!$P$4=2,VLOOKUP('DGNB LCA Results'!$M$3,Use!$S$2:$Z$34,3,FALSE)*'DGNB LCA Results'!$N$3+VLOOKUP('DGNB LCA Results'!$K$3,Use!$S$2:$Z$34,3,FALSE)*'DGNB LCA Results'!$L$3,IF('DGNB LCA Results'!$P$4=1,VLOOKUP('DGNB LCA Results'!$M$3,Use!$S$2:$Z$34,3,FALSE)*'DGNB LCA Results'!$N$3,0))))</f>
        <v>0</v>
      </c>
      <c r="V39" s="59">
        <f>IF('DGNB LCA Results'!$P$4=4,VLOOKUP('DGNB LCA Results'!$M$3,Use!$S$2:$Z$34,4,FALSE)*'DGNB LCA Results'!$N$3+VLOOKUP('DGNB LCA Results'!$K$3,Use!$S$2:$Z$34,4,FALSE)*'DGNB LCA Results'!$L$3+VLOOKUP('DGNB LCA Results'!$I$3,Use!$S$2:$Z$34,4,FALSE)*'DGNB LCA Results'!$J$3+VLOOKUP('DGNB LCA Results'!$G$3,Use!$S$2:$Z$34,4,FALSE)*'DGNB LCA Results'!$H$3,IF('DGNB LCA Results'!$P$4=3,VLOOKUP('DGNB LCA Results'!$M$3,Use!$S$2:$Z$34,4,FALSE)*'DGNB LCA Results'!$N$3+VLOOKUP('DGNB LCA Results'!$K$3,Use!$S$2:$Z$34,4,FALSE)*'DGNB LCA Results'!$L$3+VLOOKUP('DGNB LCA Results'!$I$3,Use!$S$2:$Z$34,4,FALSE)*'DGNB LCA Results'!$J$3,IF('DGNB LCA Results'!$P$4=2,VLOOKUP('DGNB LCA Results'!$M$3,Use!$S$2:$Z$34,4,FALSE)*'DGNB LCA Results'!$N$3+VLOOKUP('DGNB LCA Results'!$K$3,Use!$S$2:$Z$34,4,FALSE)*'DGNB LCA Results'!$L$3,IF('DGNB LCA Results'!$P$4=1,VLOOKUP('DGNB LCA Results'!$M$3,Use!$S$2:$Z$34,4,FALSE)*'DGNB LCA Results'!$N$3,0))))</f>
        <v>0</v>
      </c>
      <c r="W39" s="56">
        <f>IF('DGNB LCA Results'!$P$4=4,VLOOKUP('DGNB LCA Results'!$M$3,Use!$S$2:$Z$34,5,FALSE)*'DGNB LCA Results'!$N$3+VLOOKUP('DGNB LCA Results'!$K$3,Use!$S$2:$Z$34,5,FALSE)*'DGNB LCA Results'!$L$3+VLOOKUP('DGNB LCA Results'!$I$3,Use!$S$2:$Z$34,5,FALSE)*'DGNB LCA Results'!$J$3+VLOOKUP('DGNB LCA Results'!$G$3,Use!$S$2:$Z$34,5,FALSE)*'DGNB LCA Results'!$H$3,IF('DGNB LCA Results'!$P$4=3,VLOOKUP('DGNB LCA Results'!$M$3,Use!$S$2:$Z$34,5,FALSE)*'DGNB LCA Results'!$N$3+VLOOKUP('DGNB LCA Results'!$K$3,Use!$S$2:$Z$34,5,FALSE)*'DGNB LCA Results'!$L$3+VLOOKUP('DGNB LCA Results'!$I$3,Use!$S$2:$Z$34,5,FALSE)*'DGNB LCA Results'!$J$3,IF('DGNB LCA Results'!$P$4=2,VLOOKUP('DGNB LCA Results'!$M$3,Use!$S$2:$Z$34,5,FALSE)*'DGNB LCA Results'!$N$3+VLOOKUP('DGNB LCA Results'!$K$3,Use!$S$2:$Z$34,5,FALSE)*'DGNB LCA Results'!$L$3,IF('DGNB LCA Results'!$P$4=1,VLOOKUP('DGNB LCA Results'!$M$3,Use!$S$2:$Z$34,5,FALSE)*'DGNB LCA Results'!$N$3,0))))</f>
        <v>0</v>
      </c>
      <c r="X39" s="56">
        <f>IF('DGNB LCA Results'!$P$4=4,VLOOKUP('DGNB LCA Results'!$M$3,Use!$S$2:$Z$34,6,FALSE)*'DGNB LCA Results'!$N$3+VLOOKUP('DGNB LCA Results'!$K$3,Use!$S$2:$Z$34,6,FALSE)*'DGNB LCA Results'!$L$3+VLOOKUP('DGNB LCA Results'!$I$3,Use!$S$2:$Z$34,6,FALSE)*'DGNB LCA Results'!$J$3+VLOOKUP('DGNB LCA Results'!$G$3,Use!$S$2:$Z$34,6,FALSE)*'DGNB LCA Results'!$H$3,IF('DGNB LCA Results'!$P$4=3,VLOOKUP('DGNB LCA Results'!$M$3,Use!$S$2:$Z$34,6,FALSE)*'DGNB LCA Results'!$N$3+VLOOKUP('DGNB LCA Results'!$K$3,Use!$S$2:$Z$34,6,FALSE)*'DGNB LCA Results'!$L$3+VLOOKUP('DGNB LCA Results'!$I$3,Use!$S$2:$Z$34,6,FALSE)*'DGNB LCA Results'!$J$3,IF('DGNB LCA Results'!$P$4=2,VLOOKUP('DGNB LCA Results'!$M$3,Use!$S$2:$Z$34,6,FALSE)*'DGNB LCA Results'!$N$3+VLOOKUP('DGNB LCA Results'!$K$3,Use!$S$2:$Z$34,6,FALSE)*'DGNB LCA Results'!$L$3,IF('DGNB LCA Results'!$P$4=1,VLOOKUP('DGNB LCA Results'!$M$3,Use!$S$2:$Z$34,6,FALSE)*'DGNB LCA Results'!$N$3,0))))</f>
        <v>0</v>
      </c>
      <c r="Y39" s="56">
        <f>IF('DGNB LCA Results'!$P$4=4,VLOOKUP('DGNB LCA Results'!$M$3,Use!$S$2:$Z$34,7,FALSE)*'DGNB LCA Results'!$N$3+VLOOKUP('DGNB LCA Results'!$K$3,Use!$S$2:$Z$34,7,FALSE)*'DGNB LCA Results'!$L$3+VLOOKUP('DGNB LCA Results'!$I$3,Use!$S$2:$Z$34,7,FALSE)*'DGNB LCA Results'!$J$3+VLOOKUP('DGNB LCA Results'!$G$3,Use!$S$2:$Z$34,7,FALSE)*'DGNB LCA Results'!$H$3,IF('DGNB LCA Results'!$P$4=3,VLOOKUP('DGNB LCA Results'!$M$3,Use!$S$2:$Z$34,7,FALSE)*'DGNB LCA Results'!$N$3+VLOOKUP('DGNB LCA Results'!$K$3,Use!$S$2:$Z$34,7,FALSE)*'DGNB LCA Results'!$L$3+VLOOKUP('DGNB LCA Results'!$I$3,Use!$S$2:$Z$34,7,FALSE)*'DGNB LCA Results'!$J$3,IF('DGNB LCA Results'!$P$4=2,VLOOKUP('DGNB LCA Results'!$M$3,Use!$S$2:$Z$34,7,FALSE)*'DGNB LCA Results'!$N$3+VLOOKUP('DGNB LCA Results'!$K$3,Use!$S$2:$Z$34,7,FALSE)*'DGNB LCA Results'!$L$3,IF('DGNB LCA Results'!$P$4=1,VLOOKUP('DGNB LCA Results'!$M$3,Use!$S$2:$Z$34,7,FALSE)*'DGNB LCA Results'!$N$3,0))))</f>
        <v>0</v>
      </c>
      <c r="Z39" s="56">
        <f>IF('DGNB LCA Results'!$P$4=4,VLOOKUP('DGNB LCA Results'!$M$3,Use!$S$2:$Z$34,8,FALSE)*'DGNB LCA Results'!$N$3+VLOOKUP('DGNB LCA Results'!$K$3,Use!$S$2:$Z$34,8,FALSE)*'DGNB LCA Results'!$L$3+VLOOKUP('DGNB LCA Results'!$I$3,Use!$S$2:$Z$34,8,FALSE)*'DGNB LCA Results'!$J$3+VLOOKUP('DGNB LCA Results'!$G$3,Use!$S$2:$Z$34,8,FALSE)*'DGNB LCA Results'!$H$3,IF('DGNB LCA Results'!$P$4=3,VLOOKUP('DGNB LCA Results'!$M$3,Use!$S$2:$Z$34,8,FALSE)*'DGNB LCA Results'!$N$3+VLOOKUP('DGNB LCA Results'!$K$3,Use!$S$2:$Z$34,8,FALSE)*'DGNB LCA Results'!$L$3+VLOOKUP('DGNB LCA Results'!$I$3,Use!$S$2:$Z$34,8,FALSE)*'DGNB LCA Results'!$J$3,IF('DGNB LCA Results'!$P$4=2,VLOOKUP('DGNB LCA Results'!$M$3,Use!$S$2:$Z$34,8,FALSE)*'DGNB LCA Results'!$N$3+VLOOKUP('DGNB LCA Results'!$K$3,Use!$S$2:$Z$34,8,FALSE)*'DGNB LCA Results'!$L$3,IF('DGNB LCA Results'!$P$4=1,VLOOKUP('DGNB LCA Results'!$M$3,Use!$S$2:$Z$34,8,FALSE)*'DGNB LCA Results'!$N$3,0))))</f>
        <v>0</v>
      </c>
      <c r="AB39" s="256" t="s">
        <v>192</v>
      </c>
      <c r="AC39" s="259">
        <f>IF('DGNB LCA Results'!$P$4=4,VLOOKUP('DGNB LCA Results'!$M$3,Use!$AB$2:$AI$34,2,FALSE)*'DGNB LCA Results'!$N$3+VLOOKUP('DGNB LCA Results'!$K$3,Use!$AB$2:$AI$34,2,FALSE)*'DGNB LCA Results'!$L$3+VLOOKUP('DGNB LCA Results'!$I$3,Use!$AB$2:$AI$34,2,FALSE)*'DGNB LCA Results'!$J$3+VLOOKUP('DGNB LCA Results'!$G$3,Use!$AB$2:$AI$34,2,FALSE)*'DGNB LCA Results'!$H$3,IF('DGNB LCA Results'!$P$4=3,VLOOKUP('DGNB LCA Results'!$M$3,Use!$AB$2:$AI$34,2,FALSE)*'DGNB LCA Results'!$N$3+VLOOKUP('DGNB LCA Results'!$K$3,Use!$AB$2:$AI$34,2,FALSE)*'DGNB LCA Results'!$L$3+VLOOKUP('DGNB LCA Results'!$I$3,Use!$AB$2:$AI$34,2,FALSE)*'DGNB LCA Results'!$J$3,IF('DGNB LCA Results'!$P$4=2,VLOOKUP('DGNB LCA Results'!$M$3,Use!$AB$2:$AI$34,2,FALSE)*'DGNB LCA Results'!$N$3+VLOOKUP('DGNB LCA Results'!$K$3,Use!$AB$2:$AI$34,2,FALSE)*'DGNB LCA Results'!$L$3,IF('DGNB LCA Results'!$P$4=1,VLOOKUP('DGNB LCA Results'!$M$3,Use!$AB$2:$AI$34,2,FALSE)*'DGNB LCA Results'!$N$3,0))))</f>
        <v>0</v>
      </c>
      <c r="AD39" s="48">
        <f>IF('DGNB LCA Results'!$P$4=4,VLOOKUP('DGNB LCA Results'!$M$3,Use!$AB$2:$AI$34,3,FALSE)*'DGNB LCA Results'!$N$3+VLOOKUP('DGNB LCA Results'!$K$3,Use!$AB$2:$AI$34,3,FALSE)*'DGNB LCA Results'!$L$3+VLOOKUP('DGNB LCA Results'!$I$3,Use!$AB$2:$AI$34,3,FALSE)*'DGNB LCA Results'!$J$3+VLOOKUP('DGNB LCA Results'!$G$3,Use!$AB$2:$AI$34,3,FALSE)*'DGNB LCA Results'!$H$3,IF('DGNB LCA Results'!$P$4=3,VLOOKUP('DGNB LCA Results'!$M$3,Use!$AB$2:$AI$34,3,FALSE)*'DGNB LCA Results'!$N$3+VLOOKUP('DGNB LCA Results'!$K$3,Use!$AB$2:$AI$34,3,FALSE)*'DGNB LCA Results'!$L$3+VLOOKUP('DGNB LCA Results'!$I$3,Use!$AB$2:$AI$34,3,FALSE)*'DGNB LCA Results'!$J$3,IF('DGNB LCA Results'!$P$4=2,VLOOKUP('DGNB LCA Results'!$M$3,Use!$AB$2:$AI$34,3,FALSE)*'DGNB LCA Results'!$N$3+VLOOKUP('DGNB LCA Results'!$K$3,Use!$AB$2:$AI$34,3,FALSE)*'DGNB LCA Results'!$L$3,IF('DGNB LCA Results'!$P$4=1,VLOOKUP('DGNB LCA Results'!$M$3,Use!$AB$2:$AI$34,3,FALSE)*'DGNB LCA Results'!$N$3,0))))</f>
        <v>0</v>
      </c>
      <c r="AE39" s="59">
        <f>IF('DGNB LCA Results'!$P$4=4,VLOOKUP('DGNB LCA Results'!$M$3,Use!$AB$2:$AI$34,4,FALSE)*'DGNB LCA Results'!$N$3+VLOOKUP('DGNB LCA Results'!$K$3,Use!$AB$2:$AI$34,4,FALSE)*'DGNB LCA Results'!$L$3+VLOOKUP('DGNB LCA Results'!$I$3,Use!$AB$2:$AI$34,4,FALSE)*'DGNB LCA Results'!$J$3+VLOOKUP('DGNB LCA Results'!$G$3,Use!$AB$2:$AI$34,4,FALSE)*'DGNB LCA Results'!$H$3,IF('DGNB LCA Results'!$P$4=3,VLOOKUP('DGNB LCA Results'!$M$3,Use!$AB$2:$AI$34,4,FALSE)*'DGNB LCA Results'!$N$3+VLOOKUP('DGNB LCA Results'!$K$3,Use!$AB$2:$AI$34,4,FALSE)*'DGNB LCA Results'!$L$3+VLOOKUP('DGNB LCA Results'!$I$3,Use!$AB$2:$AI$34,4,FALSE)*'DGNB LCA Results'!$J$3,IF('DGNB LCA Results'!$P$4=2,VLOOKUP('DGNB LCA Results'!$M$3,Use!$AB$2:$AI$34,4,FALSE)*'DGNB LCA Results'!$N$3+VLOOKUP('DGNB LCA Results'!$K$3,Use!$AB$2:$AI$34,4,FALSE)*'DGNB LCA Results'!$L$3,IF('DGNB LCA Results'!$P$4=1,VLOOKUP('DGNB LCA Results'!$M$3,Use!$AB$2:$AI$34,4,FALSE)*'DGNB LCA Results'!$N$3,0))))</f>
        <v>0</v>
      </c>
      <c r="AF39" s="56">
        <f>IF('DGNB LCA Results'!$P$4=4,VLOOKUP('DGNB LCA Results'!$M$3,Use!$AB$2:$AI$34,5,FALSE)*'DGNB LCA Results'!$N$3+VLOOKUP('DGNB LCA Results'!$K$3,Use!$AB$2:$AI$34,5,FALSE)*'DGNB LCA Results'!$L$3+VLOOKUP('DGNB LCA Results'!$I$3,Use!$AB$2:$AI$34,5,FALSE)*'DGNB LCA Results'!$J$3+VLOOKUP('DGNB LCA Results'!$G$3,Use!$AB$2:$AI$34,5,FALSE)*'DGNB LCA Results'!$H$3,IF('DGNB LCA Results'!$P$4=3,VLOOKUP('DGNB LCA Results'!$M$3,Use!$AB$2:$AI$34,5,FALSE)*'DGNB LCA Results'!$N$3+VLOOKUP('DGNB LCA Results'!$K$3,Use!$AB$2:$AI$34,5,FALSE)*'DGNB LCA Results'!$L$3+VLOOKUP('DGNB LCA Results'!$I$3,Use!$AB$2:$AI$34,5,FALSE)*'DGNB LCA Results'!$J$3,IF('DGNB LCA Results'!$P$4=2,VLOOKUP('DGNB LCA Results'!$M$3,Use!$AB$2:$AI$34,5,FALSE)*'DGNB LCA Results'!$N$3+VLOOKUP('DGNB LCA Results'!$K$3,Use!$AB$2:$AI$34,5,FALSE)*'DGNB LCA Results'!$L$3,IF('DGNB LCA Results'!$P$4=1,VLOOKUP('DGNB LCA Results'!$M$3,Use!$AB$2:$AI$34,5,FALSE)*'DGNB LCA Results'!$N$3,0))))</f>
        <v>0</v>
      </c>
      <c r="AG39" s="56">
        <f>IF('DGNB LCA Results'!$P$4=4,VLOOKUP('DGNB LCA Results'!$M$3,Use!$AB$2:$AI$34,6,FALSE)*'DGNB LCA Results'!$N$3+VLOOKUP('DGNB LCA Results'!$K$3,Use!$AB$2:$AI$34,6,FALSE)*'DGNB LCA Results'!$L$3+VLOOKUP('DGNB LCA Results'!$I$3,Use!$AB$2:$AI$34,6,FALSE)*'DGNB LCA Results'!$J$3+VLOOKUP('DGNB LCA Results'!$G$3,Use!$AB$2:$AI$34,6,FALSE)*'DGNB LCA Results'!$H$3,IF('DGNB LCA Results'!$P$4=3,VLOOKUP('DGNB LCA Results'!$M$3,Use!$AB$2:$AI$34,6,FALSE)*'DGNB LCA Results'!$N$3+VLOOKUP('DGNB LCA Results'!$K$3,Use!$AB$2:$AI$34,6,FALSE)*'DGNB LCA Results'!$L$3+VLOOKUP('DGNB LCA Results'!$I$3,Use!$AB$2:$AI$34,6,FALSE)*'DGNB LCA Results'!$J$3,IF('DGNB LCA Results'!$P$4=2,VLOOKUP('DGNB LCA Results'!$M$3,Use!$AB$2:$AI$34,6,FALSE)*'DGNB LCA Results'!$N$3+VLOOKUP('DGNB LCA Results'!$K$3,Use!$AB$2:$AI$34,6,FALSE)*'DGNB LCA Results'!$L$3,IF('DGNB LCA Results'!$P$4=1,VLOOKUP('DGNB LCA Results'!$M$3,Use!$AB$2:$AI$34,6,FALSE)*'DGNB LCA Results'!$N$3,0))))</f>
        <v>0</v>
      </c>
      <c r="AH39" s="56">
        <f>IF('DGNB LCA Results'!$P$4=4,VLOOKUP('DGNB LCA Results'!$M$3,Use!$AB$2:$AI$34,7,FALSE)*'DGNB LCA Results'!$N$3+VLOOKUP('DGNB LCA Results'!$K$3,Use!$AB$2:$AI$34,7,FALSE)*'DGNB LCA Results'!$L$3+VLOOKUP('DGNB LCA Results'!$I$3,Use!$AB$2:$AI$34,7,FALSE)*'DGNB LCA Results'!$J$3+VLOOKUP('DGNB LCA Results'!$G$3,Use!$AB$2:$AI$34,7,FALSE)*'DGNB LCA Results'!$H$3,IF('DGNB LCA Results'!$P$4=3,VLOOKUP('DGNB LCA Results'!$M$3,Use!$AB$2:$AI$34,7,FALSE)*'DGNB LCA Results'!$N$3+VLOOKUP('DGNB LCA Results'!$K$3,Use!$AB$2:$AI$34,7,FALSE)*'DGNB LCA Results'!$L$3+VLOOKUP('DGNB LCA Results'!$I$3,Use!$AB$2:$AI$34,7,FALSE)*'DGNB LCA Results'!$J$3,IF('DGNB LCA Results'!$P$4=2,VLOOKUP('DGNB LCA Results'!$M$3,Use!$AB$2:$AI$34,7,FALSE)*'DGNB LCA Results'!$N$3+VLOOKUP('DGNB LCA Results'!$K$3,Use!$AB$2:$AI$34,7,FALSE)*'DGNB LCA Results'!$L$3,IF('DGNB LCA Results'!$P$4=1,VLOOKUP('DGNB LCA Results'!$M$3,Use!$AB$2:$AI$34,7,FALSE)*'DGNB LCA Results'!$N$3,0))))</f>
        <v>0</v>
      </c>
      <c r="AI39" s="56">
        <f>IF('DGNB LCA Results'!$P$4=4,VLOOKUP('DGNB LCA Results'!$M$3,Use!$AB$2:$AI$34,8,FALSE)*'DGNB LCA Results'!$N$3+VLOOKUP('DGNB LCA Results'!$K$3,Use!$AB$2:$AI$34,8,FALSE)*'DGNB LCA Results'!$L$3+VLOOKUP('DGNB LCA Results'!$I$3,Use!$AB$2:$AI$34,8,FALSE)*'DGNB LCA Results'!$J$3+VLOOKUP('DGNB LCA Results'!$G$3,Use!$AB$2:$AI$34,8,FALSE)*'DGNB LCA Results'!$H$3,IF('DGNB LCA Results'!$P$4=3,VLOOKUP('DGNB LCA Results'!$M$3,Use!$AB$2:$AI$34,8,FALSE)*'DGNB LCA Results'!$N$3+VLOOKUP('DGNB LCA Results'!$K$3,Use!$AB$2:$AI$34,8,FALSE)*'DGNB LCA Results'!$L$3+VLOOKUP('DGNB LCA Results'!$I$3,Use!$AB$2:$AI$34,8,FALSE)*'DGNB LCA Results'!$J$3,IF('DGNB LCA Results'!$P$4=2,VLOOKUP('DGNB LCA Results'!$M$3,Use!$AB$2:$AI$34,8,FALSE)*'DGNB LCA Results'!$N$3+VLOOKUP('DGNB LCA Results'!$K$3,Use!$AB$2:$AI$34,8,FALSE)*'DGNB LCA Results'!$L$3,IF('DGNB LCA Results'!$P$4=1,VLOOKUP('DGNB LCA Results'!$M$3,Use!$AB$2:$AI$34,8,FALSE)*'DGNB LCA Results'!$N$3,0))))</f>
        <v>0</v>
      </c>
    </row>
    <row r="40" spans="1:35" ht="15" customHeight="1" x14ac:dyDescent="0.2">
      <c r="A40" s="271" t="s">
        <v>207</v>
      </c>
      <c r="B40" s="259">
        <f>IF('DGNB LCA Results'!$P$4=4,VLOOKUP('DGNB LCA Results'!$M$3,Use!$A$2:$H$36,2,FALSE)*'DGNB LCA Results'!$N$3+VLOOKUP('DGNB LCA Results'!$K$3,Use!$A$2:$H$36,2,FALSE)*'DGNB LCA Results'!$L$3+VLOOKUP('DGNB LCA Results'!$I$3,Use!$A$2:$H$36,2,FALSE)*'DGNB LCA Results'!$J$3+VLOOKUP('DGNB LCA Results'!$G$3,Use!$A$2:$H$36,2,FALSE)*'DGNB LCA Results'!$H$3,IF('DGNB LCA Results'!$P$4=3,VLOOKUP('DGNB LCA Results'!$M$3,Use!$A$2:$H$36,2,FALSE)*'DGNB LCA Results'!$N$3+VLOOKUP('DGNB LCA Results'!$K$3,Use!$A$2:$H$36,2,FALSE)*'DGNB LCA Results'!$L$3+VLOOKUP('DGNB LCA Results'!$I$3,Use!$A$2:$H$36,2,FALSE)*'DGNB LCA Results'!$J$3,IF('DGNB LCA Results'!$P$4=2,VLOOKUP('DGNB LCA Results'!$M$3,Use!$A$2:$H$36,2,FALSE)*'DGNB LCA Results'!$N$3+VLOOKUP('DGNB LCA Results'!$K$3,Use!$A$2:$H$36,2,FALSE)*'DGNB LCA Results'!$L$3,IF('DGNB LCA Results'!$P$4=1,VLOOKUP('DGNB LCA Results'!$M$3,Use!$A$2:$H$36,2,FALSE)*'DGNB LCA Results'!$N$3,0))))</f>
        <v>0</v>
      </c>
      <c r="C40" s="48">
        <f>IF('DGNB LCA Results'!$P$4=4,VLOOKUP('DGNB LCA Results'!$M$3,Use!$A$2:$H$36,3,FALSE)*'DGNB LCA Results'!$N$3+VLOOKUP('DGNB LCA Results'!$K$3,Use!$A$2:$H$36,3,FALSE)*'DGNB LCA Results'!$L$3+VLOOKUP('DGNB LCA Results'!$I$3,Use!$A$2:$H$36,3,FALSE)*'DGNB LCA Results'!$J$3+VLOOKUP('DGNB LCA Results'!$G$3,Use!$A$2:$H$36,3,FALSE)*'DGNB LCA Results'!$H$3,IF('DGNB LCA Results'!$P$4=3,VLOOKUP('DGNB LCA Results'!$M$3,Use!$A$2:$H$36,3,FALSE)*'DGNB LCA Results'!$N$3+VLOOKUP('DGNB LCA Results'!$K$3,Use!$A$2:$H$36,3,FALSE)*'DGNB LCA Results'!$L$3+VLOOKUP('DGNB LCA Results'!$I$3,Use!$A$2:$H$36,3,FALSE)*'DGNB LCA Results'!$J$3,IF('DGNB LCA Results'!$P$4=2,VLOOKUP('DGNB LCA Results'!$M$3,Use!$A$2:$H$36,3,FALSE)*'DGNB LCA Results'!$N$3+VLOOKUP('DGNB LCA Results'!$K$3,Use!$A$2:$H$36,3,FALSE)*'DGNB LCA Results'!$L$3,IF('DGNB LCA Results'!$P$4=1,VLOOKUP('DGNB LCA Results'!$M$3,Use!$A$2:$H$36,3,FALSE)*'DGNB LCA Results'!$N$3,0))))</f>
        <v>0</v>
      </c>
      <c r="D40" s="59">
        <f>IF('DGNB LCA Results'!$P$4=4,VLOOKUP('DGNB LCA Results'!$M$3,Use!$A$2:$H$36,4,FALSE)*'DGNB LCA Results'!$N$3+VLOOKUP('DGNB LCA Results'!$K$3,Use!$A$2:$H$36,4,FALSE)*'DGNB LCA Results'!$L$3+VLOOKUP('DGNB LCA Results'!$I$3,Use!$A$2:$H$36,4,FALSE)*'DGNB LCA Results'!$J$3+VLOOKUP('DGNB LCA Results'!$G$3,Use!$A$2:$H$36,4,FALSE)*'DGNB LCA Results'!$H$3,IF('DGNB LCA Results'!$P$4=3,VLOOKUP('DGNB LCA Results'!$M$3,Use!$A$2:$H$36,4,FALSE)*'DGNB LCA Results'!$N$3+VLOOKUP('DGNB LCA Results'!$K$3,Use!$A$2:$H$36,4,FALSE)*'DGNB LCA Results'!$L$3+VLOOKUP('DGNB LCA Results'!$I$3,Use!$A$2:$H$36,4,FALSE)*'DGNB LCA Results'!$J$3,IF('DGNB LCA Results'!$P$4=2,VLOOKUP('DGNB LCA Results'!$M$3,Use!$A$2:$H$36,4,FALSE)*'DGNB LCA Results'!$N$3+VLOOKUP('DGNB LCA Results'!$K$3,Use!$A$2:$H$36,4,FALSE)*'DGNB LCA Results'!$L$3,IF('DGNB LCA Results'!$P$4=1,VLOOKUP('DGNB LCA Results'!$M$3,Use!$A$2:$H$36,4,FALSE)*'DGNB LCA Results'!$N$3,0))))</f>
        <v>0</v>
      </c>
      <c r="E40" s="56">
        <f>IF('DGNB LCA Results'!$P$4=4,VLOOKUP('DGNB LCA Results'!$M$3,Use!$A$2:$H$36,5,FALSE)*'DGNB LCA Results'!$N$3+VLOOKUP('DGNB LCA Results'!$K$3,Use!$A$2:$H$36,5,FALSE)*'DGNB LCA Results'!$L$3+VLOOKUP('DGNB LCA Results'!$I$3,Use!$A$2:$H$36,5,FALSE)*'DGNB LCA Results'!$J$3+VLOOKUP('DGNB LCA Results'!$G$3,Use!$A$2:$H$36,5,FALSE)*'DGNB LCA Results'!$H$3,IF('DGNB LCA Results'!$P$4=3,VLOOKUP('DGNB LCA Results'!$M$3,Use!$A$2:$H$36,5,FALSE)*'DGNB LCA Results'!$N$3+VLOOKUP('DGNB LCA Results'!$K$3,Use!$A$2:$H$36,5,FALSE)*'DGNB LCA Results'!$L$3+VLOOKUP('DGNB LCA Results'!$I$3,Use!$A$2:$H$36,5,FALSE)*'DGNB LCA Results'!$J$3,IF('DGNB LCA Results'!$P$4=2,VLOOKUP('DGNB LCA Results'!$M$3,Use!$A$2:$H$36,5,FALSE)*'DGNB LCA Results'!$N$3+VLOOKUP('DGNB LCA Results'!$K$3,Use!$A$2:$H$36,5,FALSE)*'DGNB LCA Results'!$L$3,IF('DGNB LCA Results'!$P$4=1,VLOOKUP('DGNB LCA Results'!$M$3,Use!$A$2:$H$36,5,FALSE)*'DGNB LCA Results'!$N$3,0))))</f>
        <v>0</v>
      </c>
      <c r="F40" s="56">
        <f>IF('DGNB LCA Results'!$P$4=4,VLOOKUP('DGNB LCA Results'!$M$3,Use!$A$2:$H$36,6,FALSE)*'DGNB LCA Results'!$N$3+VLOOKUP('DGNB LCA Results'!$K$3,Use!$A$2:$H$36,6,FALSE)*'DGNB LCA Results'!$L$3+VLOOKUP('DGNB LCA Results'!$I$3,Use!$A$2:$H$36,6,FALSE)*'DGNB LCA Results'!$J$3+VLOOKUP('DGNB LCA Results'!$G$3,Use!$A$2:$H$36,6,FALSE)*'DGNB LCA Results'!$H$3,IF('DGNB LCA Results'!$P$4=3,VLOOKUP('DGNB LCA Results'!$M$3,Use!$A$2:$H$36,6,FALSE)*'DGNB LCA Results'!$N$3+VLOOKUP('DGNB LCA Results'!$K$3,Use!$A$2:$H$36,6,FALSE)*'DGNB LCA Results'!$L$3+VLOOKUP('DGNB LCA Results'!$I$3,Use!$A$2:$H$36,6,FALSE)*'DGNB LCA Results'!$J$3,IF('DGNB LCA Results'!$P$4=2,VLOOKUP('DGNB LCA Results'!$M$3,Use!$A$2:$H$36,6,FALSE)*'DGNB LCA Results'!$N$3+VLOOKUP('DGNB LCA Results'!$K$3,Use!$A$2:$H$36,6,FALSE)*'DGNB LCA Results'!$L$3,IF('DGNB LCA Results'!$P$4=1,VLOOKUP('DGNB LCA Results'!$M$3,Use!$A$2:$H$36,6,FALSE)*'DGNB LCA Results'!$N$3,0))))</f>
        <v>0</v>
      </c>
      <c r="G40" s="56">
        <f>IF('DGNB LCA Results'!$P$4=4,VLOOKUP('DGNB LCA Results'!$M$3,Use!$A$2:$H$36,7,FALSE)*'DGNB LCA Results'!$N$3+VLOOKUP('DGNB LCA Results'!$K$3,Use!$A$2:$H$36,7,FALSE)*'DGNB LCA Results'!$L$3+VLOOKUP('DGNB LCA Results'!$I$3,Use!$A$2:$H$36,7,FALSE)*'DGNB LCA Results'!$J$3+VLOOKUP('DGNB LCA Results'!$G$3,Use!$A$2:$H$36,7,FALSE)*'DGNB LCA Results'!$H$3,IF('DGNB LCA Results'!$P$4=3,VLOOKUP('DGNB LCA Results'!$M$3,Use!$A$2:$H$36,7,FALSE)*'DGNB LCA Results'!$N$3+VLOOKUP('DGNB LCA Results'!$K$3,Use!$A$2:$H$36,7,FALSE)*'DGNB LCA Results'!$L$3+VLOOKUP('DGNB LCA Results'!$I$3,Use!$A$2:$H$36,7,FALSE)*'DGNB LCA Results'!$J$3,IF('DGNB LCA Results'!$P$4=2,VLOOKUP('DGNB LCA Results'!$M$3,Use!$A$2:$H$36,7,FALSE)*'DGNB LCA Results'!$N$3+VLOOKUP('DGNB LCA Results'!$K$3,Use!$A$2:$H$36,7,FALSE)*'DGNB LCA Results'!$L$3,IF('DGNB LCA Results'!$P$4=1,VLOOKUP('DGNB LCA Results'!$M$3,Use!$A$2:$H$36,7,FALSE)*'DGNB LCA Results'!$N$3,0))))</f>
        <v>0</v>
      </c>
      <c r="H40" s="56">
        <f>IF('DGNB LCA Results'!$P$4=4,VLOOKUP('DGNB LCA Results'!$M$3,Use!$A$2:$H$36,8,FALSE)*'DGNB LCA Results'!$N$3+VLOOKUP('DGNB LCA Results'!$K$3,Use!$A$2:$H$36,8,FALSE)*'DGNB LCA Results'!$L$3+VLOOKUP('DGNB LCA Results'!$I$3,Use!$A$2:$H$36,8,FALSE)*'DGNB LCA Results'!$J$3+VLOOKUP('DGNB LCA Results'!$G$3,Use!$A$2:$H$36,8,FALSE)*'DGNB LCA Results'!$H$3,IF('DGNB LCA Results'!$P$4=3,VLOOKUP('DGNB LCA Results'!$M$3,Use!$A$2:$H$36,8,FALSE)*'DGNB LCA Results'!$N$3+VLOOKUP('DGNB LCA Results'!$K$3,Use!$A$2:$H$36,8,FALSE)*'DGNB LCA Results'!$L$3+VLOOKUP('DGNB LCA Results'!$I$3,Use!$A$2:$H$36,8,FALSE)*'DGNB LCA Results'!$J$3,IF('DGNB LCA Results'!$P$4=2,VLOOKUP('DGNB LCA Results'!$M$3,Use!$A$2:$H$36,8,FALSE)*'DGNB LCA Results'!$N$3+VLOOKUP('DGNB LCA Results'!$K$3,Use!$A$2:$H$36,8,FALSE)*'DGNB LCA Results'!$L$3,IF('DGNB LCA Results'!$P$4=1,VLOOKUP('DGNB LCA Results'!$M$3,Use!$A$2:$H$36,8,FALSE)*'DGNB LCA Results'!$N$3,0))))</f>
        <v>0</v>
      </c>
      <c r="J40" s="271" t="s">
        <v>207</v>
      </c>
      <c r="K40" s="259">
        <f>IF('DGNB LCA Results'!$P$4=4,VLOOKUP('DGNB LCA Results'!$M$3,Use!$J$2:$Q$36,2,FALSE)*'DGNB LCA Results'!$N$3+VLOOKUP('DGNB LCA Results'!$K$3,Use!$J$2:$Q$36,2,FALSE)*'DGNB LCA Results'!$L$3+VLOOKUP('DGNB LCA Results'!$I$3,Use!$J$2:$Q$36,2,FALSE)*'DGNB LCA Results'!$J$3+VLOOKUP('DGNB LCA Results'!$G$3,Use!$J$2:$Q$36,2,FALSE)*'DGNB LCA Results'!$H$3,IF('DGNB LCA Results'!$P$4=3,VLOOKUP('DGNB LCA Results'!$M$3,Use!$J$2:$Q$36,2,FALSE)*'DGNB LCA Results'!$N$3+VLOOKUP('DGNB LCA Results'!$K$3,Use!$J$2:$Q$36,2,FALSE)*'DGNB LCA Results'!$L$3+VLOOKUP('DGNB LCA Results'!$I$3,Use!$J$2:$Q$36,2,FALSE)*'DGNB LCA Results'!$J$3,IF('DGNB LCA Results'!$P$4=2,VLOOKUP('DGNB LCA Results'!$M$3,Use!$J$2:$Q$36,2,FALSE)*'DGNB LCA Results'!$N$3+VLOOKUP('DGNB LCA Results'!$K$3,Use!$J$2:$Q$36,2,FALSE)*'DGNB LCA Results'!$L$3,IF('DGNB LCA Results'!$P$4=1,VLOOKUP('DGNB LCA Results'!$M$3,Use!$J$2:$Q$36,2,FALSE)*'DGNB LCA Results'!$N$3,0))))</f>
        <v>0</v>
      </c>
      <c r="L40" s="48">
        <f>IF('DGNB LCA Results'!$P$4=4,VLOOKUP('DGNB LCA Results'!$M$3,Use!$J$2:$Q$36,3,FALSE)*'DGNB LCA Results'!$N$3+VLOOKUP('DGNB LCA Results'!$K$3,Use!$J$2:$Q$36,3,FALSE)*'DGNB LCA Results'!$L$3+VLOOKUP('DGNB LCA Results'!$I$3,Use!$J$2:$Q$36,3,FALSE)*'DGNB LCA Results'!$J$3+VLOOKUP('DGNB LCA Results'!$G$3,Use!$J$2:$Q$36,3,FALSE)*'DGNB LCA Results'!$H$3,IF('DGNB LCA Results'!$P$4=3,VLOOKUP('DGNB LCA Results'!$M$3,Use!$J$2:$Q$36,3,FALSE)*'DGNB LCA Results'!$N$3+VLOOKUP('DGNB LCA Results'!$K$3,Use!$J$2:$Q$36,3,FALSE)*'DGNB LCA Results'!$L$3+VLOOKUP('DGNB LCA Results'!$I$3,Use!$J$2:$Q$36,3,FALSE)*'DGNB LCA Results'!$J$3,IF('DGNB LCA Results'!$P$4=2,VLOOKUP('DGNB LCA Results'!$M$3,Use!$J$2:$Q$36,3,FALSE)*'DGNB LCA Results'!$N$3+VLOOKUP('DGNB LCA Results'!$K$3,Use!$J$2:$Q$36,3,FALSE)*'DGNB LCA Results'!$L$3,IF('DGNB LCA Results'!$P$4=1,VLOOKUP('DGNB LCA Results'!$M$3,Use!$J$2:$Q$36,3,FALSE)*'DGNB LCA Results'!$N$3,0))))</f>
        <v>0</v>
      </c>
      <c r="M40" s="59">
        <f>IF('DGNB LCA Results'!$P$4=4,VLOOKUP('DGNB LCA Results'!$M$3,Use!$J$2:$Q$36,4,FALSE)*'DGNB LCA Results'!$N$3+VLOOKUP('DGNB LCA Results'!$K$3,Use!$J$2:$Q$36,4,FALSE)*'DGNB LCA Results'!$L$3+VLOOKUP('DGNB LCA Results'!$I$3,Use!$J$2:$Q$36,4,FALSE)*'DGNB LCA Results'!$J$3+VLOOKUP('DGNB LCA Results'!$G$3,Use!$J$2:$Q$36,4,FALSE)*'DGNB LCA Results'!$H$3,IF('DGNB LCA Results'!$P$4=3,VLOOKUP('DGNB LCA Results'!$M$3,Use!$J$2:$Q$36,4,FALSE)*'DGNB LCA Results'!$N$3+VLOOKUP('DGNB LCA Results'!$K$3,Use!$J$2:$Q$36,4,FALSE)*'DGNB LCA Results'!$L$3+VLOOKUP('DGNB LCA Results'!$I$3,Use!$J$2:$Q$36,4,FALSE)*'DGNB LCA Results'!$J$3,IF('DGNB LCA Results'!$P$4=2,VLOOKUP('DGNB LCA Results'!$M$3,Use!$J$2:$Q$36,4,FALSE)*'DGNB LCA Results'!$N$3+VLOOKUP('DGNB LCA Results'!$K$3,Use!$J$2:$Q$36,4,FALSE)*'DGNB LCA Results'!$L$3,IF('DGNB LCA Results'!$P$4=1,VLOOKUP('DGNB LCA Results'!$M$3,Use!$J$2:$Q$36,4,FALSE)*'DGNB LCA Results'!$N$3,0))))</f>
        <v>0</v>
      </c>
      <c r="N40" s="56">
        <f>IF('DGNB LCA Results'!$P$4=4,VLOOKUP('DGNB LCA Results'!$M$3,Use!$J$2:$Q$36,5,FALSE)*'DGNB LCA Results'!$N$3+VLOOKUP('DGNB LCA Results'!$K$3,Use!$J$2:$Q$36,5,FALSE)*'DGNB LCA Results'!$L$3+VLOOKUP('DGNB LCA Results'!$I$3,Use!$J$2:$Q$36,5,FALSE)*'DGNB LCA Results'!$J$3+VLOOKUP('DGNB LCA Results'!$G$3,Use!$J$2:$Q$36,5,FALSE)*'DGNB LCA Results'!$H$3,IF('DGNB LCA Results'!$P$4=3,VLOOKUP('DGNB LCA Results'!$M$3,Use!$J$2:$Q$36,5,FALSE)*'DGNB LCA Results'!$N$3+VLOOKUP('DGNB LCA Results'!$K$3,Use!$J$2:$Q$36,5,FALSE)*'DGNB LCA Results'!$L$3+VLOOKUP('DGNB LCA Results'!$I$3,Use!$J$2:$Q$36,5,FALSE)*'DGNB LCA Results'!$J$3,IF('DGNB LCA Results'!$P$4=2,VLOOKUP('DGNB LCA Results'!$M$3,Use!$J$2:$Q$36,5,FALSE)*'DGNB LCA Results'!$N$3+VLOOKUP('DGNB LCA Results'!$K$3,Use!$J$2:$Q$36,5,FALSE)*'DGNB LCA Results'!$L$3,IF('DGNB LCA Results'!$P$4=1,VLOOKUP('DGNB LCA Results'!$M$3,Use!$J$2:$Q$36,5,FALSE)*'DGNB LCA Results'!$N$3,0))))</f>
        <v>0</v>
      </c>
      <c r="O40" s="56">
        <f>IF('DGNB LCA Results'!$P$4=4,VLOOKUP('DGNB LCA Results'!$M$3,Use!$J$2:$Q$36,6,FALSE)*'DGNB LCA Results'!$N$3+VLOOKUP('DGNB LCA Results'!$K$3,Use!$J$2:$Q$36,6,FALSE)*'DGNB LCA Results'!$L$3+VLOOKUP('DGNB LCA Results'!$I$3,Use!$J$2:$Q$36,6,FALSE)*'DGNB LCA Results'!$J$3+VLOOKUP('DGNB LCA Results'!$G$3,Use!$J$2:$Q$36,6,FALSE)*'DGNB LCA Results'!$H$3,IF('DGNB LCA Results'!$P$4=3,VLOOKUP('DGNB LCA Results'!$M$3,Use!$J$2:$Q$36,6,FALSE)*'DGNB LCA Results'!$N$3+VLOOKUP('DGNB LCA Results'!$K$3,Use!$J$2:$Q$36,6,FALSE)*'DGNB LCA Results'!$L$3+VLOOKUP('DGNB LCA Results'!$I$3,Use!$J$2:$Q$36,6,FALSE)*'DGNB LCA Results'!$J$3,IF('DGNB LCA Results'!$P$4=2,VLOOKUP('DGNB LCA Results'!$M$3,Use!$J$2:$Q$36,6,FALSE)*'DGNB LCA Results'!$N$3+VLOOKUP('DGNB LCA Results'!$K$3,Use!$J$2:$Q$36,6,FALSE)*'DGNB LCA Results'!$L$3,IF('DGNB LCA Results'!$P$4=1,VLOOKUP('DGNB LCA Results'!$M$3,Use!$J$2:$Q$36,6,FALSE)*'DGNB LCA Results'!$N$3,0))))</f>
        <v>0</v>
      </c>
      <c r="P40" s="56">
        <f>IF('DGNB LCA Results'!$P$4=4,VLOOKUP('DGNB LCA Results'!$M$3,Use!$J$2:$Q$36,7,FALSE)*'DGNB LCA Results'!$N$3+VLOOKUP('DGNB LCA Results'!$K$3,Use!$J$2:$Q$36,7,FALSE)*'DGNB LCA Results'!$L$3+VLOOKUP('DGNB LCA Results'!$I$3,Use!$J$2:$Q$36,7,FALSE)*'DGNB LCA Results'!$J$3+VLOOKUP('DGNB LCA Results'!$G$3,Use!$J$2:$Q$36,7,FALSE)*'DGNB LCA Results'!$H$3,IF('DGNB LCA Results'!$P$4=3,VLOOKUP('DGNB LCA Results'!$M$3,Use!$J$2:$Q$36,7,FALSE)*'DGNB LCA Results'!$N$3+VLOOKUP('DGNB LCA Results'!$K$3,Use!$J$2:$Q$36,7,FALSE)*'DGNB LCA Results'!$L$3+VLOOKUP('DGNB LCA Results'!$I$3,Use!$J$2:$Q$36,7,FALSE)*'DGNB LCA Results'!$J$3,IF('DGNB LCA Results'!$P$4=2,VLOOKUP('DGNB LCA Results'!$M$3,Use!$J$2:$Q$36,7,FALSE)*'DGNB LCA Results'!$N$3+VLOOKUP('DGNB LCA Results'!$K$3,Use!$J$2:$Q$36,7,FALSE)*'DGNB LCA Results'!$L$3,IF('DGNB LCA Results'!$P$4=1,VLOOKUP('DGNB LCA Results'!$M$3,Use!$J$2:$Q$36,7,FALSE)*'DGNB LCA Results'!$N$3,0))))</f>
        <v>0</v>
      </c>
      <c r="Q40" s="56">
        <f>IF('DGNB LCA Results'!$P$4=4,VLOOKUP('DGNB LCA Results'!$M$3,Use!$J$2:$Q$36,8,FALSE)*'DGNB LCA Results'!$N$3+VLOOKUP('DGNB LCA Results'!$K$3,Use!$J$2:$Q$36,8,FALSE)*'DGNB LCA Results'!$L$3+VLOOKUP('DGNB LCA Results'!$I$3,Use!$J$2:$Q$36,8,FALSE)*'DGNB LCA Results'!$J$3+VLOOKUP('DGNB LCA Results'!$G$3,Use!$J$2:$Q$36,8,FALSE)*'DGNB LCA Results'!$H$3,IF('DGNB LCA Results'!$P$4=3,VLOOKUP('DGNB LCA Results'!$M$3,Use!$J$2:$Q$36,8,FALSE)*'DGNB LCA Results'!$N$3+VLOOKUP('DGNB LCA Results'!$K$3,Use!$J$2:$Q$36,8,FALSE)*'DGNB LCA Results'!$L$3+VLOOKUP('DGNB LCA Results'!$I$3,Use!$J$2:$Q$36,8,FALSE)*'DGNB LCA Results'!$J$3,IF('DGNB LCA Results'!$P$4=2,VLOOKUP('DGNB LCA Results'!$M$3,Use!$J$2:$Q$36,8,FALSE)*'DGNB LCA Results'!$N$3+VLOOKUP('DGNB LCA Results'!$K$3,Use!$J$2:$Q$36,8,FALSE)*'DGNB LCA Results'!$L$3,IF('DGNB LCA Results'!$P$4=1,VLOOKUP('DGNB LCA Results'!$M$3,Use!$J$2:$Q$36,8,FALSE)*'DGNB LCA Results'!$N$3,0))))</f>
        <v>0</v>
      </c>
      <c r="S40" s="271" t="s">
        <v>207</v>
      </c>
      <c r="T40" s="259">
        <f>IF('DGNB LCA Results'!$P$4=4,VLOOKUP('DGNB LCA Results'!$M$3,Use!$S$2:$Z$36,2,FALSE)*'DGNB LCA Results'!$N$3+VLOOKUP('DGNB LCA Results'!$K$3,Use!$S$2:$Z$36,2,FALSE)*'DGNB LCA Results'!$L$3+VLOOKUP('DGNB LCA Results'!$I$3,Use!$S$2:$Z$36,2,FALSE)*'DGNB LCA Results'!$J$3+VLOOKUP('DGNB LCA Results'!$G$3,Use!$S$2:$Z$36,2,FALSE)*'DGNB LCA Results'!$H$3,IF('DGNB LCA Results'!$P$4=3,VLOOKUP('DGNB LCA Results'!$M$3,Use!$S$2:$Z$36,2,FALSE)*'DGNB LCA Results'!$N$3+VLOOKUP('DGNB LCA Results'!$K$3,Use!$S$2:$Z$36,2,FALSE)*'DGNB LCA Results'!$L$3+VLOOKUP('DGNB LCA Results'!$I$3,Use!$S$2:$Z$36,2,FALSE)*'DGNB LCA Results'!$J$3,IF('DGNB LCA Results'!$P$4=2,VLOOKUP('DGNB LCA Results'!$M$3,Use!$S$2:$Z$36,2,FALSE)*'DGNB LCA Results'!$N$3+VLOOKUP('DGNB LCA Results'!$K$3,Use!$S$2:$Z$36,2,FALSE)*'DGNB LCA Results'!$L$3,IF('DGNB LCA Results'!$P$4=1,VLOOKUP('DGNB LCA Results'!$M$3,Use!$S$2:$Z$36,2,FALSE)*'DGNB LCA Results'!$N$3,0))))</f>
        <v>0</v>
      </c>
      <c r="U40" s="48">
        <f>IF('DGNB LCA Results'!$P$4=4,VLOOKUP('DGNB LCA Results'!$M$3,Use!$S$2:$Z$36,3,FALSE)*'DGNB LCA Results'!$N$3+VLOOKUP('DGNB LCA Results'!$K$3,Use!$S$2:$Z$36,3,FALSE)*'DGNB LCA Results'!$L$3+VLOOKUP('DGNB LCA Results'!$I$3,Use!$S$2:$Z$36,3,FALSE)*'DGNB LCA Results'!$J$3+VLOOKUP('DGNB LCA Results'!$G$3,Use!$S$2:$Z$36,3,FALSE)*'DGNB LCA Results'!$H$3,IF('DGNB LCA Results'!$P$4=3,VLOOKUP('DGNB LCA Results'!$M$3,Use!$S$2:$Z$36,3,FALSE)*'DGNB LCA Results'!$N$3+VLOOKUP('DGNB LCA Results'!$K$3,Use!$S$2:$Z$36,3,FALSE)*'DGNB LCA Results'!$L$3+VLOOKUP('DGNB LCA Results'!$I$3,Use!$S$2:$Z$36,3,FALSE)*'DGNB LCA Results'!$J$3,IF('DGNB LCA Results'!$P$4=2,VLOOKUP('DGNB LCA Results'!$M$3,Use!$S$2:$Z$36,3,FALSE)*'DGNB LCA Results'!$N$3+VLOOKUP('DGNB LCA Results'!$K$3,Use!$S$2:$Z$36,3,FALSE)*'DGNB LCA Results'!$L$3,IF('DGNB LCA Results'!$P$4=1,VLOOKUP('DGNB LCA Results'!$M$3,Use!$S$2:$Z$36,3,FALSE)*'DGNB LCA Results'!$N$3,0))))</f>
        <v>0</v>
      </c>
      <c r="V40" s="59">
        <f>IF('DGNB LCA Results'!$P$4=4,VLOOKUP('DGNB LCA Results'!$M$3,Use!$S$2:$Z$36,4,FALSE)*'DGNB LCA Results'!$N$3+VLOOKUP('DGNB LCA Results'!$K$3,Use!$S$2:$Z$36,4,FALSE)*'DGNB LCA Results'!$L$3+VLOOKUP('DGNB LCA Results'!$I$3,Use!$S$2:$Z$36,4,FALSE)*'DGNB LCA Results'!$J$3+VLOOKUP('DGNB LCA Results'!$G$3,Use!$S$2:$Z$36,4,FALSE)*'DGNB LCA Results'!$H$3,IF('DGNB LCA Results'!$P$4=3,VLOOKUP('DGNB LCA Results'!$M$3,Use!$S$2:$Z$36,4,FALSE)*'DGNB LCA Results'!$N$3+VLOOKUP('DGNB LCA Results'!$K$3,Use!$S$2:$Z$36,4,FALSE)*'DGNB LCA Results'!$L$3+VLOOKUP('DGNB LCA Results'!$I$3,Use!$S$2:$Z$36,4,FALSE)*'DGNB LCA Results'!$J$3,IF('DGNB LCA Results'!$P$4=2,VLOOKUP('DGNB LCA Results'!$M$3,Use!$S$2:$Z$36,4,FALSE)*'DGNB LCA Results'!$N$3+VLOOKUP('DGNB LCA Results'!$K$3,Use!$S$2:$Z$36,4,FALSE)*'DGNB LCA Results'!$L$3,IF('DGNB LCA Results'!$P$4=1,VLOOKUP('DGNB LCA Results'!$M$3,Use!$S$2:$Z$36,4,FALSE)*'DGNB LCA Results'!$N$3,0))))</f>
        <v>0</v>
      </c>
      <c r="W40" s="56">
        <f>IF('DGNB LCA Results'!$P$4=4,VLOOKUP('DGNB LCA Results'!$M$3,Use!$S$2:$Z$36,5,FALSE)*'DGNB LCA Results'!$N$3+VLOOKUP('DGNB LCA Results'!$K$3,Use!$S$2:$Z$36,5,FALSE)*'DGNB LCA Results'!$L$3+VLOOKUP('DGNB LCA Results'!$I$3,Use!$S$2:$Z$36,5,FALSE)*'DGNB LCA Results'!$J$3+VLOOKUP('DGNB LCA Results'!$G$3,Use!$S$2:$Z$36,5,FALSE)*'DGNB LCA Results'!$H$3,IF('DGNB LCA Results'!$P$4=3,VLOOKUP('DGNB LCA Results'!$M$3,Use!$S$2:$Z$36,5,FALSE)*'DGNB LCA Results'!$N$3+VLOOKUP('DGNB LCA Results'!$K$3,Use!$S$2:$Z$36,5,FALSE)*'DGNB LCA Results'!$L$3+VLOOKUP('DGNB LCA Results'!$I$3,Use!$S$2:$Z$36,5,FALSE)*'DGNB LCA Results'!$J$3,IF('DGNB LCA Results'!$P$4=2,VLOOKUP('DGNB LCA Results'!$M$3,Use!$S$2:$Z$36,5,FALSE)*'DGNB LCA Results'!$N$3+VLOOKUP('DGNB LCA Results'!$K$3,Use!$S$2:$Z$36,5,FALSE)*'DGNB LCA Results'!$L$3,IF('DGNB LCA Results'!$P$4=1,VLOOKUP('DGNB LCA Results'!$M$3,Use!$S$2:$Z$36,5,FALSE)*'DGNB LCA Results'!$N$3,0))))</f>
        <v>0</v>
      </c>
      <c r="X40" s="56">
        <f>IF('DGNB LCA Results'!$P$4=4,VLOOKUP('DGNB LCA Results'!$M$3,Use!$S$2:$Z$36,6,FALSE)*'DGNB LCA Results'!$N$3+VLOOKUP('DGNB LCA Results'!$K$3,Use!$S$2:$Z$36,6,FALSE)*'DGNB LCA Results'!$L$3+VLOOKUP('DGNB LCA Results'!$I$3,Use!$S$2:$Z$36,6,FALSE)*'DGNB LCA Results'!$J$3+VLOOKUP('DGNB LCA Results'!$G$3,Use!$S$2:$Z$36,6,FALSE)*'DGNB LCA Results'!$H$3,IF('DGNB LCA Results'!$P$4=3,VLOOKUP('DGNB LCA Results'!$M$3,Use!$S$2:$Z$36,6,FALSE)*'DGNB LCA Results'!$N$3+VLOOKUP('DGNB LCA Results'!$K$3,Use!$S$2:$Z$36,6,FALSE)*'DGNB LCA Results'!$L$3+VLOOKUP('DGNB LCA Results'!$I$3,Use!$S$2:$Z$36,6,FALSE)*'DGNB LCA Results'!$J$3,IF('DGNB LCA Results'!$P$4=2,VLOOKUP('DGNB LCA Results'!$M$3,Use!$S$2:$Z$36,6,FALSE)*'DGNB LCA Results'!$N$3+VLOOKUP('DGNB LCA Results'!$K$3,Use!$S$2:$Z$36,6,FALSE)*'DGNB LCA Results'!$L$3,IF('DGNB LCA Results'!$P$4=1,VLOOKUP('DGNB LCA Results'!$M$3,Use!$S$2:$Z$36,6,FALSE)*'DGNB LCA Results'!$N$3,0))))</f>
        <v>0</v>
      </c>
      <c r="Y40" s="56">
        <f>IF('DGNB LCA Results'!$P$4=4,VLOOKUP('DGNB LCA Results'!$M$3,Use!$S$2:$Z$36,7,FALSE)*'DGNB LCA Results'!$N$3+VLOOKUP('DGNB LCA Results'!$K$3,Use!$S$2:$Z$36,7,FALSE)*'DGNB LCA Results'!$L$3+VLOOKUP('DGNB LCA Results'!$I$3,Use!$S$2:$Z$36,7,FALSE)*'DGNB LCA Results'!$J$3+VLOOKUP('DGNB LCA Results'!$G$3,Use!$S$2:$Z$36,7,FALSE)*'DGNB LCA Results'!$H$3,IF('DGNB LCA Results'!$P$4=3,VLOOKUP('DGNB LCA Results'!$M$3,Use!$S$2:$Z$36,7,FALSE)*'DGNB LCA Results'!$N$3+VLOOKUP('DGNB LCA Results'!$K$3,Use!$S$2:$Z$36,7,FALSE)*'DGNB LCA Results'!$L$3+VLOOKUP('DGNB LCA Results'!$I$3,Use!$S$2:$Z$36,7,FALSE)*'DGNB LCA Results'!$J$3,IF('DGNB LCA Results'!$P$4=2,VLOOKUP('DGNB LCA Results'!$M$3,Use!$S$2:$Z$36,7,FALSE)*'DGNB LCA Results'!$N$3+VLOOKUP('DGNB LCA Results'!$K$3,Use!$S$2:$Z$36,7,FALSE)*'DGNB LCA Results'!$L$3,IF('DGNB LCA Results'!$P$4=1,VLOOKUP('DGNB LCA Results'!$M$3,Use!$S$2:$Z$36,7,FALSE)*'DGNB LCA Results'!$N$3,0))))</f>
        <v>0</v>
      </c>
      <c r="Z40" s="56">
        <f>IF('DGNB LCA Results'!$P$4=4,VLOOKUP('DGNB LCA Results'!$M$3,Use!$S$2:$Z$36,8,FALSE)*'DGNB LCA Results'!$N$3+VLOOKUP('DGNB LCA Results'!$K$3,Use!$S$2:$Z$36,8,FALSE)*'DGNB LCA Results'!$L$3+VLOOKUP('DGNB LCA Results'!$I$3,Use!$S$2:$Z$36,8,FALSE)*'DGNB LCA Results'!$J$3+VLOOKUP('DGNB LCA Results'!$G$3,Use!$S$2:$Z$36,8,FALSE)*'DGNB LCA Results'!$H$3,IF('DGNB LCA Results'!$P$4=3,VLOOKUP('DGNB LCA Results'!$M$3,Use!$S$2:$Z$36,8,FALSE)*'DGNB LCA Results'!$N$3+VLOOKUP('DGNB LCA Results'!$K$3,Use!$S$2:$Z$36,8,FALSE)*'DGNB LCA Results'!$L$3+VLOOKUP('DGNB LCA Results'!$I$3,Use!$S$2:$Z$36,8,FALSE)*'DGNB LCA Results'!$J$3,IF('DGNB LCA Results'!$P$4=2,VLOOKUP('DGNB LCA Results'!$M$3,Use!$S$2:$Z$36,8,FALSE)*'DGNB LCA Results'!$N$3+VLOOKUP('DGNB LCA Results'!$K$3,Use!$S$2:$Z$36,8,FALSE)*'DGNB LCA Results'!$L$3,IF('DGNB LCA Results'!$P$4=1,VLOOKUP('DGNB LCA Results'!$M$3,Use!$S$2:$Z$36,8,FALSE)*'DGNB LCA Results'!$N$3,0))))</f>
        <v>0</v>
      </c>
      <c r="AB40" s="271" t="s">
        <v>207</v>
      </c>
      <c r="AC40" s="259">
        <f>IF('DGNB LCA Results'!$P$4=4,VLOOKUP('DGNB LCA Results'!$M$3,Use!$AB$2:$AI$36,2,FALSE)*'DGNB LCA Results'!$N$3+VLOOKUP('DGNB LCA Results'!$K$3,Use!$AB$2:$AI$36,2,FALSE)*'DGNB LCA Results'!$L$3+VLOOKUP('DGNB LCA Results'!$I$3,Use!$AB$2:$AI$36,2,FALSE)*'DGNB LCA Results'!$J$3+VLOOKUP('DGNB LCA Results'!$G$3,Use!$AB$2:$AI$36,2,FALSE)*'DGNB LCA Results'!$H$3,IF('DGNB LCA Results'!$P$4=3,VLOOKUP('DGNB LCA Results'!$M$3,Use!$AB$2:$AI$36,2,FALSE)*'DGNB LCA Results'!$N$3+VLOOKUP('DGNB LCA Results'!$K$3,Use!$AB$2:$AI$36,2,FALSE)*'DGNB LCA Results'!$L$3+VLOOKUP('DGNB LCA Results'!$I$3,Use!$AB$2:$AI$36,2,FALSE)*'DGNB LCA Results'!$J$3,IF('DGNB LCA Results'!$P$4=2,VLOOKUP('DGNB LCA Results'!$M$3,Use!$AB$2:$AI$36,2,FALSE)*'DGNB LCA Results'!$N$3+VLOOKUP('DGNB LCA Results'!$K$3,Use!$AB$2:$AI$36,2,FALSE)*'DGNB LCA Results'!$L$3,IF('DGNB LCA Results'!$P$4=1,VLOOKUP('DGNB LCA Results'!$M$3,Use!$AB$2:$AI$36,2,FALSE)*'DGNB LCA Results'!$N$3,0))))</f>
        <v>0</v>
      </c>
      <c r="AD40" s="48">
        <f>IF('DGNB LCA Results'!$P$4=4,VLOOKUP('DGNB LCA Results'!$M$3,Use!$AB$2:$AI$36,3,FALSE)*'DGNB LCA Results'!$N$3+VLOOKUP('DGNB LCA Results'!$K$3,Use!$AB$2:$AI$36,3,FALSE)*'DGNB LCA Results'!$L$3+VLOOKUP('DGNB LCA Results'!$I$3,Use!$AB$2:$AI$36,3,FALSE)*'DGNB LCA Results'!$J$3+VLOOKUP('DGNB LCA Results'!$G$3,Use!$AB$2:$AI$36,3,FALSE)*'DGNB LCA Results'!$H$3,IF('DGNB LCA Results'!$P$4=3,VLOOKUP('DGNB LCA Results'!$M$3,Use!$AB$2:$AI$36,3,FALSE)*'DGNB LCA Results'!$N$3+VLOOKUP('DGNB LCA Results'!$K$3,Use!$AB$2:$AI$36,3,FALSE)*'DGNB LCA Results'!$L$3+VLOOKUP('DGNB LCA Results'!$I$3,Use!$AB$2:$AI$36,3,FALSE)*'DGNB LCA Results'!$J$3,IF('DGNB LCA Results'!$P$4=2,VLOOKUP('DGNB LCA Results'!$M$3,Use!$AB$2:$AI$36,3,FALSE)*'DGNB LCA Results'!$N$3+VLOOKUP('DGNB LCA Results'!$K$3,Use!$AB$2:$AI$36,3,FALSE)*'DGNB LCA Results'!$L$3,IF('DGNB LCA Results'!$P$4=1,VLOOKUP('DGNB LCA Results'!$M$3,Use!$AB$2:$AI$36,3,FALSE)*'DGNB LCA Results'!$N$3,0))))</f>
        <v>0</v>
      </c>
      <c r="AE40" s="59">
        <f>IF('DGNB LCA Results'!$P$4=4,VLOOKUP('DGNB LCA Results'!$M$3,Use!$AB$2:$AI$36,4,FALSE)*'DGNB LCA Results'!$N$3+VLOOKUP('DGNB LCA Results'!$K$3,Use!$AB$2:$AI$36,4,FALSE)*'DGNB LCA Results'!$L$3+VLOOKUP('DGNB LCA Results'!$I$3,Use!$AB$2:$AI$36,4,FALSE)*'DGNB LCA Results'!$J$3+VLOOKUP('DGNB LCA Results'!$G$3,Use!$AB$2:$AI$36,4,FALSE)*'DGNB LCA Results'!$H$3,IF('DGNB LCA Results'!$P$4=3,VLOOKUP('DGNB LCA Results'!$M$3,Use!$AB$2:$AI$36,4,FALSE)*'DGNB LCA Results'!$N$3+VLOOKUP('DGNB LCA Results'!$K$3,Use!$AB$2:$AI$36,4,FALSE)*'DGNB LCA Results'!$L$3+VLOOKUP('DGNB LCA Results'!$I$3,Use!$AB$2:$AI$36,4,FALSE)*'DGNB LCA Results'!$J$3,IF('DGNB LCA Results'!$P$4=2,VLOOKUP('DGNB LCA Results'!$M$3,Use!$AB$2:$AI$36,4,FALSE)*'DGNB LCA Results'!$N$3+VLOOKUP('DGNB LCA Results'!$K$3,Use!$AB$2:$AI$36,4,FALSE)*'DGNB LCA Results'!$L$3,IF('DGNB LCA Results'!$P$4=1,VLOOKUP('DGNB LCA Results'!$M$3,Use!$AB$2:$AI$36,4,FALSE)*'DGNB LCA Results'!$N$3,0))))</f>
        <v>0</v>
      </c>
      <c r="AF40" s="56">
        <f>IF('DGNB LCA Results'!$P$4=4,VLOOKUP('DGNB LCA Results'!$M$3,Use!$AB$2:$AI$36,5,FALSE)*'DGNB LCA Results'!$N$3+VLOOKUP('DGNB LCA Results'!$K$3,Use!$AB$2:$AI$36,5,FALSE)*'DGNB LCA Results'!$L$3+VLOOKUP('DGNB LCA Results'!$I$3,Use!$AB$2:$AI$36,5,FALSE)*'DGNB LCA Results'!$J$3+VLOOKUP('DGNB LCA Results'!$G$3,Use!$AB$2:$AI$36,5,FALSE)*'DGNB LCA Results'!$H$3,IF('DGNB LCA Results'!$P$4=3,VLOOKUP('DGNB LCA Results'!$M$3,Use!$AB$2:$AI$36,5,FALSE)*'DGNB LCA Results'!$N$3+VLOOKUP('DGNB LCA Results'!$K$3,Use!$AB$2:$AI$36,5,FALSE)*'DGNB LCA Results'!$L$3+VLOOKUP('DGNB LCA Results'!$I$3,Use!$AB$2:$AI$36,5,FALSE)*'DGNB LCA Results'!$J$3,IF('DGNB LCA Results'!$P$4=2,VLOOKUP('DGNB LCA Results'!$M$3,Use!$AB$2:$AI$36,5,FALSE)*'DGNB LCA Results'!$N$3+VLOOKUP('DGNB LCA Results'!$K$3,Use!$AB$2:$AI$36,5,FALSE)*'DGNB LCA Results'!$L$3,IF('DGNB LCA Results'!$P$4=1,VLOOKUP('DGNB LCA Results'!$M$3,Use!$AB$2:$AI$36,5,FALSE)*'DGNB LCA Results'!$N$3,0))))</f>
        <v>0</v>
      </c>
      <c r="AG40" s="56">
        <f>IF('DGNB LCA Results'!$P$4=4,VLOOKUP('DGNB LCA Results'!$M$3,Use!$AB$2:$AI$36,6,FALSE)*'DGNB LCA Results'!$N$3+VLOOKUP('DGNB LCA Results'!$K$3,Use!$AB$2:$AI$36,6,FALSE)*'DGNB LCA Results'!$L$3+VLOOKUP('DGNB LCA Results'!$I$3,Use!$AB$2:$AI$36,6,FALSE)*'DGNB LCA Results'!$J$3+VLOOKUP('DGNB LCA Results'!$G$3,Use!$AB$2:$AI$36,6,FALSE)*'DGNB LCA Results'!$H$3,IF('DGNB LCA Results'!$P$4=3,VLOOKUP('DGNB LCA Results'!$M$3,Use!$AB$2:$AI$36,6,FALSE)*'DGNB LCA Results'!$N$3+VLOOKUP('DGNB LCA Results'!$K$3,Use!$AB$2:$AI$36,6,FALSE)*'DGNB LCA Results'!$L$3+VLOOKUP('DGNB LCA Results'!$I$3,Use!$AB$2:$AI$36,6,FALSE)*'DGNB LCA Results'!$J$3,IF('DGNB LCA Results'!$P$4=2,VLOOKUP('DGNB LCA Results'!$M$3,Use!$AB$2:$AI$36,6,FALSE)*'DGNB LCA Results'!$N$3+VLOOKUP('DGNB LCA Results'!$K$3,Use!$AB$2:$AI$36,6,FALSE)*'DGNB LCA Results'!$L$3,IF('DGNB LCA Results'!$P$4=1,VLOOKUP('DGNB LCA Results'!$M$3,Use!$AB$2:$AI$36,6,FALSE)*'DGNB LCA Results'!$N$3,0))))</f>
        <v>0</v>
      </c>
      <c r="AH40" s="56">
        <f>IF('DGNB LCA Results'!$P$4=4,VLOOKUP('DGNB LCA Results'!$M$3,Use!$AB$2:$AI$36,7,FALSE)*'DGNB LCA Results'!$N$3+VLOOKUP('DGNB LCA Results'!$K$3,Use!$AB$2:$AI$36,7,FALSE)*'DGNB LCA Results'!$L$3+VLOOKUP('DGNB LCA Results'!$I$3,Use!$AB$2:$AI$36,7,FALSE)*'DGNB LCA Results'!$J$3+VLOOKUP('DGNB LCA Results'!$G$3,Use!$AB$2:$AI$36,7,FALSE)*'DGNB LCA Results'!$H$3,IF('DGNB LCA Results'!$P$4=3,VLOOKUP('DGNB LCA Results'!$M$3,Use!$AB$2:$AI$36,7,FALSE)*'DGNB LCA Results'!$N$3+VLOOKUP('DGNB LCA Results'!$K$3,Use!$AB$2:$AI$36,7,FALSE)*'DGNB LCA Results'!$L$3+VLOOKUP('DGNB LCA Results'!$I$3,Use!$AB$2:$AI$36,7,FALSE)*'DGNB LCA Results'!$J$3,IF('DGNB LCA Results'!$P$4=2,VLOOKUP('DGNB LCA Results'!$M$3,Use!$AB$2:$AI$36,7,FALSE)*'DGNB LCA Results'!$N$3+VLOOKUP('DGNB LCA Results'!$K$3,Use!$AB$2:$AI$36,7,FALSE)*'DGNB LCA Results'!$L$3,IF('DGNB LCA Results'!$P$4=1,VLOOKUP('DGNB LCA Results'!$M$3,Use!$AB$2:$AI$36,7,FALSE)*'DGNB LCA Results'!$N$3,0))))</f>
        <v>0</v>
      </c>
      <c r="AI40" s="56">
        <f>IF('DGNB LCA Results'!$P$4=4,VLOOKUP('DGNB LCA Results'!$M$3,Use!$AB$2:$AI$36,8,FALSE)*'DGNB LCA Results'!$N$3+VLOOKUP('DGNB LCA Results'!$K$3,Use!$AB$2:$AI$36,8,FALSE)*'DGNB LCA Results'!$L$3+VLOOKUP('DGNB LCA Results'!$I$3,Use!$AB$2:$AI$36,8,FALSE)*'DGNB LCA Results'!$J$3+VLOOKUP('DGNB LCA Results'!$G$3,Use!$AB$2:$AI$36,8,FALSE)*'DGNB LCA Results'!$H$3,IF('DGNB LCA Results'!$P$4=3,VLOOKUP('DGNB LCA Results'!$M$3,Use!$AB$2:$AI$36,8,FALSE)*'DGNB LCA Results'!$N$3+VLOOKUP('DGNB LCA Results'!$K$3,Use!$AB$2:$AI$36,8,FALSE)*'DGNB LCA Results'!$L$3+VLOOKUP('DGNB LCA Results'!$I$3,Use!$AB$2:$AI$36,8,FALSE)*'DGNB LCA Results'!$J$3,IF('DGNB LCA Results'!$P$4=2,VLOOKUP('DGNB LCA Results'!$M$3,Use!$AB$2:$AI$36,8,FALSE)*'DGNB LCA Results'!$N$3+VLOOKUP('DGNB LCA Results'!$K$3,Use!$AB$2:$AI$36,8,FALSE)*'DGNB LCA Results'!$L$3,IF('DGNB LCA Results'!$P$4=1,VLOOKUP('DGNB LCA Results'!$M$3,Use!$AB$2:$AI$36,8,FALSE)*'DGNB LCA Results'!$N$3,0))))</f>
        <v>0</v>
      </c>
    </row>
    <row r="41" spans="1:35" ht="15" customHeight="1" x14ac:dyDescent="0.2"/>
    <row r="75" ht="15" customHeight="1" x14ac:dyDescent="0.2"/>
    <row r="111" ht="15" customHeight="1" x14ac:dyDescent="0.2"/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29FC5860-E461-4738-8C61-41DB1182FE8D}">
            <xm:f>FIND($A2,'DGNB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5" id="{340BAA5E-7AA4-49F1-9F03-8F0E765F9417}">
            <xm:f>FIND($A2,'DGNB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6" id="{3AABAF13-8A52-4172-9DAE-40B1D55C0825}">
            <xm:f>FIND($A2,'DGNB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7" id="{72632BD0-7D1B-4BA2-8EED-950B242212F7}">
            <xm:f>FIND($A2,'DGNB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A2:H2 A35:H36 J35:Q36 S35:Z36 AB35:AI36</xm:sqref>
        </x14:conditionalFormatting>
        <x14:conditionalFormatting xmlns:xm="http://schemas.microsoft.com/office/excel/2006/main">
          <x14:cfRule type="expression" priority="139" id="{7B92B21F-0D37-46DE-AA01-9E6EF4E6FDB9}">
            <xm:f>FIND($A3,'DGNB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0" id="{917AF3D3-4FE2-4AFA-8EC3-807E0B128017}">
            <xm:f>FIND($A3,'DGNB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1" id="{2078E0CC-B51F-4AF8-BE59-503A528721B9}">
            <xm:f>FIND($A3,'DGNB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2" id="{4F8A2FF4-5789-47D0-AF2E-9AD70A0D4F01}">
            <xm:f>FIND($A3,'DGNB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A3:H24</xm:sqref>
        </x14:conditionalFormatting>
        <x14:conditionalFormatting xmlns:xm="http://schemas.microsoft.com/office/excel/2006/main">
          <x14:cfRule type="expression" priority="135" id="{818F5C1F-E4FB-4BED-BEED-73339F4E533A}">
            <xm:f>FIND($A25,'DGNB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6" id="{0401E53E-2CF8-4FD5-A7D4-F65A4E6F8B82}">
            <xm:f>FIND($A25,'DGNB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7" id="{CC103563-FB05-41AE-ABD6-9F44BB4A4AAD}">
            <xm:f>FIND($A25,'DGNB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8" id="{38066E5A-0038-417B-88E2-B55206774940}">
            <xm:f>FIND($A25,'DGNB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A25:H34</xm:sqref>
        </x14:conditionalFormatting>
        <x14:conditionalFormatting xmlns:xm="http://schemas.microsoft.com/office/excel/2006/main">
          <x14:cfRule type="expression" priority="127" id="{D6935495-646B-476B-9D7A-495092F9988D}">
            <xm:f>FIND($A2,'DGNB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8" id="{28BA8D9E-3418-4626-9547-0088C9D4C8EE}">
            <xm:f>FIND($A2,'DGNB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9" id="{8908562B-A3A8-427E-9022-324F59761941}">
            <xm:f>FIND($A2,'DGNB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30" id="{1219B46C-BB52-4DCE-AFD7-7325B5C43CC7}">
            <xm:f>FIND($A2,'DGNB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J2:Q2</xm:sqref>
        </x14:conditionalFormatting>
        <x14:conditionalFormatting xmlns:xm="http://schemas.microsoft.com/office/excel/2006/main">
          <x14:cfRule type="expression" priority="123" id="{899B28BD-37BD-4441-BABB-89624F4F72FC}">
            <xm:f>FIND($A3,'DGNB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4" id="{1D56228E-AC39-4154-A6A3-47CF5FDE14FA}">
            <xm:f>FIND($A3,'DGNB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5" id="{018B1F5B-A7DC-4802-B31F-0C9B1A132D34}">
            <xm:f>FIND($A3,'DGNB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6" id="{E11BA055-9706-4127-8230-4789842D0CC8}">
            <xm:f>FIND($A3,'DGNB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J3:Q24</xm:sqref>
        </x14:conditionalFormatting>
        <x14:conditionalFormatting xmlns:xm="http://schemas.microsoft.com/office/excel/2006/main">
          <x14:cfRule type="expression" priority="119" id="{9AD35F00-878F-42F4-A92C-0D508A9D846A}">
            <xm:f>FIND($A25,'DGNB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0" id="{4DE0CC8C-9318-4A06-99F5-CAC59FD893F0}">
            <xm:f>FIND($A25,'DGNB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1" id="{1A447C8C-9CFC-40D8-B441-D601BEC5D6BF}">
            <xm:f>FIND($A25,'DGNB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2" id="{3E84FD6B-B533-48C7-9058-133B1B2DA5D4}">
            <xm:f>FIND($A25,'DGNB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J25:Q34</xm:sqref>
        </x14:conditionalFormatting>
        <x14:conditionalFormatting xmlns:xm="http://schemas.microsoft.com/office/excel/2006/main">
          <x14:cfRule type="expression" priority="112" id="{A331688D-8F88-4228-89A3-FD71FE9A2B35}">
            <xm:f>FIND($A2,'DGNB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3" id="{9475DC99-4C0A-4815-B60A-C9180DB070D7}">
            <xm:f>FIND($A2,'DGNB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4" id="{42B219E5-784E-4C5E-BEF5-90752D5003A3}">
            <xm:f>FIND($A2,'DGNB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5" id="{CB5D4963-355E-425A-B992-47CBA64E2F3D}">
            <xm:f>FIND($A2,'DGNB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S2:Z2</xm:sqref>
        </x14:conditionalFormatting>
        <x14:conditionalFormatting xmlns:xm="http://schemas.microsoft.com/office/excel/2006/main">
          <x14:cfRule type="expression" priority="108" id="{DAC5DF71-B868-4A51-812B-0FDC490FC780}">
            <xm:f>FIND($A3,'DGNB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9" id="{3555DA3F-93EB-4F2A-B641-8711FFDD6E65}">
            <xm:f>FIND($A3,'DGNB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0" id="{7A3632D9-7DF8-4531-AE5D-F1CA78990F5D}">
            <xm:f>FIND($A3,'DGNB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1" id="{B98FCBFB-BC9C-42F4-A405-82BEE79EEC54}">
            <xm:f>FIND($A3,'DGNB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S3:Z24</xm:sqref>
        </x14:conditionalFormatting>
        <x14:conditionalFormatting xmlns:xm="http://schemas.microsoft.com/office/excel/2006/main">
          <x14:cfRule type="expression" priority="104" id="{A4FC4E61-A46E-4C74-90CA-B8B5EB70B21D}">
            <xm:f>FIND($A25,'DGNB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5" id="{8FF4B956-4624-4611-BC14-D472AF161F4B}">
            <xm:f>FIND($A25,'DGNB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6" id="{9DEF842F-02B1-42FF-8C63-C04A00F5484E}">
            <xm:f>FIND($A25,'DGNB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7" id="{5D5FD665-A8C6-4310-8B27-5E58783BBC17}">
            <xm:f>FIND($A25,'DGNB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S25:Z34</xm:sqref>
        </x14:conditionalFormatting>
        <x14:conditionalFormatting xmlns:xm="http://schemas.microsoft.com/office/excel/2006/main">
          <x14:cfRule type="expression" priority="97" id="{4FA79136-9083-471F-ABE7-B7DBEF5FE377}">
            <xm:f>FIND($A2,'DGNB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8" id="{431F6DB2-6DC6-4489-B530-3D0E055CEDBE}">
            <xm:f>FIND($A2,'DGNB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9" id="{DAE15288-87B4-4E90-BA59-EB3E7CB9D137}">
            <xm:f>FIND($A2,'DGNB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0" id="{FAF62886-8461-4173-89DC-E1C81D4748A2}">
            <xm:f>FIND($A2,'DGNB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AB2:AI2</xm:sqref>
        </x14:conditionalFormatting>
        <x14:conditionalFormatting xmlns:xm="http://schemas.microsoft.com/office/excel/2006/main">
          <x14:cfRule type="expression" priority="93" id="{8888F4AA-2EA9-4DC9-9842-7431F9552C46}">
            <xm:f>FIND($A3,'DGNB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4" id="{D01EEF6B-4FF4-4E6D-B665-023D6AED30DA}">
            <xm:f>FIND($A3,'DGNB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5" id="{C3DFDF69-22F3-45F4-9AA3-A30244CE90FD}">
            <xm:f>FIND($A3,'DGNB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6" id="{8E436A9B-1E43-4105-B380-184D3F10995E}">
            <xm:f>FIND($A3,'DGNB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AB3:AI24</xm:sqref>
        </x14:conditionalFormatting>
        <x14:conditionalFormatting xmlns:xm="http://schemas.microsoft.com/office/excel/2006/main">
          <x14:cfRule type="expression" priority="89" id="{9502C22D-7448-400E-BFDA-311D4B209D4C}">
            <xm:f>FIND($A25,'DGNB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0" id="{4EA85CC5-C247-4505-8CB0-7D7FF51FF570}">
            <xm:f>FIND($A25,'DGNB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1" id="{73C12C31-9C1B-4EC0-982A-8C76C63ED15B}">
            <xm:f>FIND($A25,'DGNB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2" id="{8315EF6A-D00E-42B8-A8C5-423BC833DED1}">
            <xm:f>FIND($A25,'DGNB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AB25:AI34</xm:sqref>
        </x14:conditionalFormatting>
        <x14:conditionalFormatting xmlns:xm="http://schemas.microsoft.com/office/excel/2006/main">
          <x14:cfRule type="expression" priority="82" id="{9956F84D-3CDA-4AE2-9918-F459E82B16F2}">
            <xm:f>FIND($A37,'DGNB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3" id="{7AFDB742-9051-4EA5-BE7E-18C378F18B04}">
            <xm:f>FIND($A37,'DGNB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4" id="{1A03C40F-10B5-4F3F-8242-1E4399BF542F}">
            <xm:f>FIND($A37,'DGNB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5" id="{9A3C4F4B-2188-41C5-B052-DF317E5E4F25}">
            <xm:f>FIND($A37,'DGNB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A37:H40</xm:sqref>
        </x14:conditionalFormatting>
        <x14:conditionalFormatting xmlns:xm="http://schemas.microsoft.com/office/excel/2006/main">
          <x14:cfRule type="expression" priority="78" id="{F561643D-6354-4445-9DD5-32636FF9C717}">
            <xm:f>FIND($A37,'DGNB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9" id="{B15C847B-21AF-4BA2-A2FE-89A3796F8BC9}">
            <xm:f>FIND($A37,'DGNB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0" id="{3621808D-BDD2-417A-90F2-E0BC796FA070}">
            <xm:f>FIND($A37,'DGNB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1" id="{8097D35A-5568-464D-9BA5-DCAE96F7B9E1}">
            <xm:f>FIND($A37,'DGNB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J37:Q39 K40:Q40</xm:sqref>
        </x14:conditionalFormatting>
        <x14:conditionalFormatting xmlns:xm="http://schemas.microsoft.com/office/excel/2006/main">
          <x14:cfRule type="expression" priority="74" id="{193FE80C-3087-4AAA-9DB3-01896CBD71DF}">
            <xm:f>FIND($A37,'DGNB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5" id="{7C9FC46F-C5A7-49D5-B845-6E54A84D4864}">
            <xm:f>FIND($A37,'DGNB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6" id="{777D7A27-1872-4F6C-AD0D-D61D36F9D0AD}">
            <xm:f>FIND($A37,'DGNB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7" id="{C660EFA1-FB7C-4729-AEED-C69D3A472BDA}">
            <xm:f>FIND($A37,'DGNB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S37:Z39 T40:Z40</xm:sqref>
        </x14:conditionalFormatting>
        <x14:conditionalFormatting xmlns:xm="http://schemas.microsoft.com/office/excel/2006/main">
          <x14:cfRule type="expression" priority="70" id="{28FD1C99-F646-4412-A4D6-3305CF7ECA28}">
            <xm:f>FIND($A37,'DGNB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1" id="{C1EF9CD7-112B-47D4-AE07-A6E81029BDC8}">
            <xm:f>FIND($A37,'DGNB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2" id="{D3FFB91D-8395-4A9E-B097-6CF319982582}">
            <xm:f>FIND($A37,'DGNB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3" id="{DE2F2113-ED93-4755-ADAD-0A02B3BDFF1F}">
            <xm:f>FIND($A37,'DGNB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AB37:AI39 AC40:AI40</xm:sqref>
        </x14:conditionalFormatting>
        <x14:conditionalFormatting xmlns:xm="http://schemas.microsoft.com/office/excel/2006/main">
          <x14:cfRule type="expression" priority="9" id="{45401B8A-A759-44DB-81F2-FB47E7FDEAA4}">
            <xm:f>FIND($A40,'DGNB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" id="{432CAF64-BEFC-4C60-80EE-EB52AC2DE3B4}">
            <xm:f>FIND($A40,'DGNB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1" id="{6109D35F-25F3-4A52-8E0C-4B7DEE6CACBC}">
            <xm:f>FIND($A40,'DGNB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2" id="{7A4F92CE-06AD-416F-9665-BEBFFD964F73}">
            <xm:f>FIND($A40,'DGNB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5" id="{1B732BF1-F88F-421E-A9EC-AB28ACA5CC63}">
            <xm:f>FIND($A40,'DGNB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" id="{6C38FAA7-A403-4D31-B418-6335E174E5B7}">
            <xm:f>FIND($A40,'DGNB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" id="{B00B53EA-F41D-4AB7-807E-2131CDA4C56F}">
            <xm:f>FIND($A40,'DGNB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" id="{1813B347-6805-4C32-8AE6-D8CB1F0ED874}">
            <xm:f>FIND($A40,'DGNB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expression" priority="1" id="{CBA10C59-E377-4E3A-95E6-62F7BFE6A91F}">
            <xm:f>FIND($A40,'DGNB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" id="{7882F69C-0BC8-4F3F-B019-6CF4360BE126}">
            <xm:f>FIND($A40,'DGNB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" id="{6F560B91-7A2A-4312-B927-602F4F65263A}">
            <xm:f>FIND($A40,'DGNB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" id="{05AD5F73-D940-4A9F-91C4-77697F86CFFF}">
            <xm:f>FIND($A40,'DGNB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AB40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B39"/>
  <sheetViews>
    <sheetView topLeftCell="A19" workbookViewId="0">
      <selection activeCell="E40" sqref="E40"/>
    </sheetView>
  </sheetViews>
  <sheetFormatPr baseColWidth="10" defaultColWidth="11.5" defaultRowHeight="15" x14ac:dyDescent="0.2"/>
  <cols>
    <col min="1" max="1" width="19.33203125" customWidth="1"/>
    <col min="2" max="2" width="17.83203125" customWidth="1"/>
  </cols>
  <sheetData>
    <row r="1" spans="1:2" x14ac:dyDescent="0.2">
      <c r="A1" s="67" t="s">
        <v>106</v>
      </c>
      <c r="B1" s="67" t="s">
        <v>107</v>
      </c>
    </row>
    <row r="2" spans="1:2" x14ac:dyDescent="0.2">
      <c r="A2" s="47" t="s">
        <v>70</v>
      </c>
      <c r="B2" s="47" t="s">
        <v>108</v>
      </c>
    </row>
    <row r="3" spans="1:2" x14ac:dyDescent="0.2">
      <c r="A3" s="47" t="s">
        <v>0</v>
      </c>
      <c r="B3" t="s">
        <v>109</v>
      </c>
    </row>
    <row r="4" spans="1:2" x14ac:dyDescent="0.2">
      <c r="A4" s="47" t="s">
        <v>74</v>
      </c>
      <c r="B4" t="s">
        <v>110</v>
      </c>
    </row>
    <row r="5" spans="1:2" x14ac:dyDescent="0.2">
      <c r="A5" s="47" t="s">
        <v>76</v>
      </c>
      <c r="B5" t="s">
        <v>109</v>
      </c>
    </row>
    <row r="6" spans="1:2" x14ac:dyDescent="0.2">
      <c r="A6" s="47" t="s">
        <v>78</v>
      </c>
      <c r="B6" t="s">
        <v>110</v>
      </c>
    </row>
    <row r="7" spans="1:2" x14ac:dyDescent="0.2">
      <c r="A7" s="47" t="s">
        <v>80</v>
      </c>
      <c r="B7" t="s">
        <v>110</v>
      </c>
    </row>
    <row r="8" spans="1:2" x14ac:dyDescent="0.2">
      <c r="A8" s="47" t="s">
        <v>82</v>
      </c>
      <c r="B8" t="s">
        <v>109</v>
      </c>
    </row>
    <row r="9" spans="1:2" x14ac:dyDescent="0.2">
      <c r="A9" s="47" t="s">
        <v>83</v>
      </c>
      <c r="B9" t="s">
        <v>110</v>
      </c>
    </row>
    <row r="10" spans="1:2" x14ac:dyDescent="0.2">
      <c r="A10" s="47" t="s">
        <v>84</v>
      </c>
      <c r="B10" t="s">
        <v>110</v>
      </c>
    </row>
    <row r="11" spans="1:2" x14ac:dyDescent="0.2">
      <c r="A11" s="47" t="s">
        <v>85</v>
      </c>
      <c r="B11" t="s">
        <v>109</v>
      </c>
    </row>
    <row r="12" spans="1:2" x14ac:dyDescent="0.2">
      <c r="A12" s="47" t="s">
        <v>86</v>
      </c>
      <c r="B12" t="s">
        <v>109</v>
      </c>
    </row>
    <row r="13" spans="1:2" x14ac:dyDescent="0.2">
      <c r="A13" s="47" t="s">
        <v>87</v>
      </c>
      <c r="B13" t="s">
        <v>109</v>
      </c>
    </row>
    <row r="14" spans="1:2" x14ac:dyDescent="0.2">
      <c r="A14" s="47" t="s">
        <v>88</v>
      </c>
      <c r="B14" t="s">
        <v>110</v>
      </c>
    </row>
    <row r="15" spans="1:2" x14ac:dyDescent="0.2">
      <c r="A15" s="47" t="s">
        <v>89</v>
      </c>
      <c r="B15" t="s">
        <v>110</v>
      </c>
    </row>
    <row r="16" spans="1:2" x14ac:dyDescent="0.2">
      <c r="A16" s="47" t="s">
        <v>90</v>
      </c>
      <c r="B16" t="s">
        <v>110</v>
      </c>
    </row>
    <row r="17" spans="1:2" x14ac:dyDescent="0.2">
      <c r="A17" s="47" t="s">
        <v>72</v>
      </c>
      <c r="B17" t="s">
        <v>109</v>
      </c>
    </row>
    <row r="18" spans="1:2" x14ac:dyDescent="0.2">
      <c r="A18" s="47" t="s">
        <v>73</v>
      </c>
      <c r="B18" t="s">
        <v>109</v>
      </c>
    </row>
    <row r="19" spans="1:2" x14ac:dyDescent="0.2">
      <c r="A19" s="47" t="s">
        <v>75</v>
      </c>
      <c r="B19" t="s">
        <v>110</v>
      </c>
    </row>
    <row r="20" spans="1:2" x14ac:dyDescent="0.2">
      <c r="A20" s="47" t="s">
        <v>77</v>
      </c>
      <c r="B20" t="s">
        <v>110</v>
      </c>
    </row>
    <row r="21" spans="1:2" x14ac:dyDescent="0.2">
      <c r="A21" s="47" t="s">
        <v>91</v>
      </c>
      <c r="B21" t="s">
        <v>110</v>
      </c>
    </row>
    <row r="22" spans="1:2" x14ac:dyDescent="0.2">
      <c r="A22" s="47" t="s">
        <v>92</v>
      </c>
      <c r="B22" t="s">
        <v>109</v>
      </c>
    </row>
    <row r="23" spans="1:2" x14ac:dyDescent="0.2">
      <c r="A23" s="47" t="s">
        <v>93</v>
      </c>
      <c r="B23" t="s">
        <v>110</v>
      </c>
    </row>
    <row r="24" spans="1:2" x14ac:dyDescent="0.2">
      <c r="A24" s="47" t="s">
        <v>94</v>
      </c>
      <c r="B24" t="s">
        <v>111</v>
      </c>
    </row>
    <row r="25" spans="1:2" x14ac:dyDescent="0.2">
      <c r="A25" s="49" t="s">
        <v>95</v>
      </c>
      <c r="B25" t="s">
        <v>111</v>
      </c>
    </row>
    <row r="26" spans="1:2" x14ac:dyDescent="0.2">
      <c r="A26" s="49" t="s">
        <v>96</v>
      </c>
      <c r="B26" t="s">
        <v>111</v>
      </c>
    </row>
    <row r="27" spans="1:2" x14ac:dyDescent="0.2">
      <c r="A27" s="49" t="s">
        <v>97</v>
      </c>
      <c r="B27" t="s">
        <v>111</v>
      </c>
    </row>
    <row r="28" spans="1:2" x14ac:dyDescent="0.2">
      <c r="A28" s="49" t="s">
        <v>98</v>
      </c>
      <c r="B28" t="s">
        <v>111</v>
      </c>
    </row>
    <row r="29" spans="1:2" x14ac:dyDescent="0.2">
      <c r="A29" s="49" t="s">
        <v>99</v>
      </c>
      <c r="B29" t="s">
        <v>111</v>
      </c>
    </row>
    <row r="30" spans="1:2" x14ac:dyDescent="0.2">
      <c r="A30" s="49" t="s">
        <v>100</v>
      </c>
      <c r="B30" t="s">
        <v>111</v>
      </c>
    </row>
    <row r="31" spans="1:2" x14ac:dyDescent="0.2">
      <c r="A31" s="49" t="s">
        <v>79</v>
      </c>
      <c r="B31" t="s">
        <v>111</v>
      </c>
    </row>
    <row r="32" spans="1:2" x14ac:dyDescent="0.2">
      <c r="A32" s="49" t="s">
        <v>81</v>
      </c>
      <c r="B32" t="s">
        <v>111</v>
      </c>
    </row>
    <row r="33" spans="1:2" x14ac:dyDescent="0.2">
      <c r="A33" s="49" t="s">
        <v>101</v>
      </c>
      <c r="B33" t="s">
        <v>109</v>
      </c>
    </row>
    <row r="34" spans="1:2" ht="16" x14ac:dyDescent="0.2">
      <c r="A34" s="256" t="s">
        <v>204</v>
      </c>
      <c r="B34" t="s">
        <v>111</v>
      </c>
    </row>
    <row r="35" spans="1:2" ht="16" x14ac:dyDescent="0.2">
      <c r="A35" s="256" t="s">
        <v>205</v>
      </c>
      <c r="B35" t="s">
        <v>111</v>
      </c>
    </row>
    <row r="36" spans="1:2" x14ac:dyDescent="0.2">
      <c r="A36" s="49" t="s">
        <v>193</v>
      </c>
      <c r="B36" t="s">
        <v>110</v>
      </c>
    </row>
    <row r="37" spans="1:2" x14ac:dyDescent="0.2">
      <c r="A37" s="49" t="s">
        <v>194</v>
      </c>
      <c r="B37" t="s">
        <v>109</v>
      </c>
    </row>
    <row r="38" spans="1:2" x14ac:dyDescent="0.2">
      <c r="A38" s="49" t="s">
        <v>192</v>
      </c>
      <c r="B38" t="s">
        <v>111</v>
      </c>
    </row>
    <row r="39" spans="1:2" x14ac:dyDescent="0.2">
      <c r="A39" s="49" t="s">
        <v>207</v>
      </c>
      <c r="B39" t="s">
        <v>111</v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440D07-0356-48B1-960E-06A681D36176}">
            <xm:f>FIND($A34,'DGNB LCA Results'!$G$3)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" id="{8D6593D4-B9E5-43F2-BBCD-736AEB4D87EC}">
            <xm:f>FIND($A34,'DGNB LCA Results'!$I$3)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" id="{06AEE083-3555-46D4-BBA4-BB754B87DA0B}">
            <xm:f>FIND($A34,'DGNB LCA Results'!$K$3)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" id="{8B1F22A7-F6B4-4839-91E8-13D6573F5274}">
            <xm:f>FIND($A34,'DGNB LCA Results'!$M$3)</xm:f>
            <x14:dxf>
              <fill>
                <patternFill>
                  <bgColor theme="9" tint="0.39994506668294322"/>
                </patternFill>
              </fill>
            </x14:dxf>
          </x14:cfRule>
          <xm:sqref>A34:A35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R530"/>
  <sheetViews>
    <sheetView workbookViewId="0">
      <pane ySplit="1" topLeftCell="A391" activePane="bottomLeft" state="frozen"/>
      <selection pane="bottomLeft" activeCell="B396" sqref="B396"/>
    </sheetView>
  </sheetViews>
  <sheetFormatPr baseColWidth="10" defaultColWidth="11.5" defaultRowHeight="15" x14ac:dyDescent="0.2"/>
  <cols>
    <col min="1" max="1" width="19.5" customWidth="1"/>
    <col min="2" max="2" width="11.5" style="120"/>
    <col min="3" max="3" width="11.5" style="47"/>
    <col min="4" max="4" width="11.5" style="121"/>
    <col min="5" max="5" width="11.5" style="120"/>
    <col min="6" max="6" width="11.5" style="47"/>
    <col min="7" max="7" width="11.5" style="121"/>
    <col min="8" max="8" width="11.5" style="120"/>
    <col min="9" max="9" width="11.5" style="47"/>
    <col min="10" max="10" width="11.5" style="121"/>
    <col min="11" max="11" width="11.5" style="120"/>
    <col min="12" max="12" width="11.5" style="47"/>
    <col min="13" max="13" width="11.5" style="121"/>
    <col min="14" max="14" width="11.5" style="120"/>
    <col min="15" max="15" width="11.5" style="47"/>
    <col min="16" max="16" width="11.5" style="121"/>
  </cols>
  <sheetData>
    <row r="1" spans="1:18" x14ac:dyDescent="0.2">
      <c r="A1" t="s">
        <v>112</v>
      </c>
      <c r="B1" s="120" t="s">
        <v>113</v>
      </c>
      <c r="C1" s="47" t="s">
        <v>114</v>
      </c>
      <c r="D1" s="121" t="s">
        <v>115</v>
      </c>
      <c r="E1" s="120" t="s">
        <v>116</v>
      </c>
      <c r="F1" s="47" t="s">
        <v>117</v>
      </c>
      <c r="G1" s="121" t="s">
        <v>118</v>
      </c>
      <c r="H1" s="120" t="s">
        <v>119</v>
      </c>
      <c r="I1" s="47" t="s">
        <v>120</v>
      </c>
      <c r="J1" s="121" t="s">
        <v>121</v>
      </c>
      <c r="K1" s="120" t="s">
        <v>122</v>
      </c>
      <c r="L1" s="47" t="s">
        <v>123</v>
      </c>
      <c r="M1" s="121" t="s">
        <v>124</v>
      </c>
      <c r="N1" s="120" t="s">
        <v>125</v>
      </c>
      <c r="O1" s="47" t="s">
        <v>126</v>
      </c>
      <c r="P1" s="121" t="s">
        <v>127</v>
      </c>
      <c r="Q1" t="s">
        <v>55</v>
      </c>
      <c r="R1" t="s">
        <v>106</v>
      </c>
    </row>
    <row r="2" spans="1:18" x14ac:dyDescent="0.2">
      <c r="A2" t="str">
        <f>IF(R2="","",CONCATENATE(R2,"_",Q2))</f>
        <v>NBV15_10</v>
      </c>
      <c r="B2" s="120">
        <v>1.4</v>
      </c>
      <c r="C2" s="47">
        <v>1</v>
      </c>
      <c r="D2" s="121">
        <v>1</v>
      </c>
      <c r="E2" s="120">
        <v>10</v>
      </c>
      <c r="F2" s="49">
        <v>1</v>
      </c>
      <c r="G2" s="121">
        <v>1</v>
      </c>
      <c r="H2" s="120">
        <v>2</v>
      </c>
      <c r="I2" s="49">
        <v>1</v>
      </c>
      <c r="J2" s="121">
        <v>1</v>
      </c>
      <c r="K2" s="120">
        <v>1.7</v>
      </c>
      <c r="L2" s="49">
        <v>1</v>
      </c>
      <c r="M2" s="121">
        <v>1</v>
      </c>
      <c r="N2" s="120">
        <v>2</v>
      </c>
      <c r="O2" s="49">
        <v>1</v>
      </c>
      <c r="P2" s="121">
        <v>1</v>
      </c>
      <c r="Q2">
        <v>10</v>
      </c>
      <c r="R2" t="s">
        <v>0</v>
      </c>
    </row>
    <row r="3" spans="1:18" x14ac:dyDescent="0.2">
      <c r="A3" t="str">
        <f t="shared" ref="A3:A66" si="0">IF(R3="","",CONCATENATE(R3,"_",Q3))</f>
        <v>NBV15_20</v>
      </c>
      <c r="B3" s="120">
        <v>1.3</v>
      </c>
      <c r="C3" s="47">
        <v>1</v>
      </c>
      <c r="D3" s="121">
        <v>1</v>
      </c>
      <c r="E3" s="120">
        <v>7.75</v>
      </c>
      <c r="F3" s="49">
        <v>1</v>
      </c>
      <c r="G3" s="121">
        <v>1</v>
      </c>
      <c r="H3" s="120">
        <v>1.75</v>
      </c>
      <c r="I3" s="49">
        <v>1</v>
      </c>
      <c r="J3" s="121">
        <v>1</v>
      </c>
      <c r="K3" s="120">
        <v>1.5249999999999999</v>
      </c>
      <c r="L3" s="49">
        <v>1</v>
      </c>
      <c r="M3" s="121">
        <v>1</v>
      </c>
      <c r="N3" s="120">
        <v>1.75</v>
      </c>
      <c r="O3" s="49">
        <v>1</v>
      </c>
      <c r="P3" s="121">
        <v>1</v>
      </c>
      <c r="Q3">
        <v>20</v>
      </c>
      <c r="R3" t="s">
        <v>0</v>
      </c>
    </row>
    <row r="4" spans="1:18" x14ac:dyDescent="0.2">
      <c r="A4" t="str">
        <f t="shared" si="0"/>
        <v>NBV15_30</v>
      </c>
      <c r="B4" s="120">
        <v>1.2</v>
      </c>
      <c r="C4" s="47">
        <v>1</v>
      </c>
      <c r="D4" s="121">
        <v>1</v>
      </c>
      <c r="E4" s="120">
        <v>5.5</v>
      </c>
      <c r="F4" s="49">
        <v>1</v>
      </c>
      <c r="G4" s="121">
        <v>1</v>
      </c>
      <c r="H4" s="120">
        <v>1.5</v>
      </c>
      <c r="I4" s="49">
        <v>1</v>
      </c>
      <c r="J4" s="121">
        <v>1</v>
      </c>
      <c r="K4" s="120">
        <v>1.35</v>
      </c>
      <c r="L4" s="49">
        <v>1</v>
      </c>
      <c r="M4" s="121">
        <v>1</v>
      </c>
      <c r="N4" s="120">
        <v>1.5</v>
      </c>
      <c r="O4" s="49">
        <v>1</v>
      </c>
      <c r="P4" s="121">
        <v>1</v>
      </c>
      <c r="Q4">
        <v>30</v>
      </c>
      <c r="R4" t="s">
        <v>0</v>
      </c>
    </row>
    <row r="5" spans="1:18" x14ac:dyDescent="0.2">
      <c r="A5" t="str">
        <f t="shared" si="0"/>
        <v>NBV15_40</v>
      </c>
      <c r="B5" s="120">
        <v>1.1000000000000001</v>
      </c>
      <c r="C5" s="47">
        <v>1</v>
      </c>
      <c r="D5" s="121">
        <v>1</v>
      </c>
      <c r="E5" s="120">
        <v>3.25</v>
      </c>
      <c r="F5" s="49">
        <v>1</v>
      </c>
      <c r="G5" s="121">
        <v>1</v>
      </c>
      <c r="H5" s="120">
        <v>1.25</v>
      </c>
      <c r="I5" s="49">
        <v>1</v>
      </c>
      <c r="J5" s="121">
        <v>1</v>
      </c>
      <c r="K5" s="120">
        <v>1.175</v>
      </c>
      <c r="L5" s="49">
        <v>1</v>
      </c>
      <c r="M5" s="121">
        <v>1</v>
      </c>
      <c r="N5" s="120">
        <v>1.25</v>
      </c>
      <c r="O5" s="49">
        <v>1</v>
      </c>
      <c r="P5" s="121">
        <v>1</v>
      </c>
      <c r="Q5">
        <v>40</v>
      </c>
      <c r="R5" t="s">
        <v>0</v>
      </c>
    </row>
    <row r="6" spans="1:18" x14ac:dyDescent="0.2">
      <c r="A6" t="str">
        <f t="shared" si="0"/>
        <v>NBV15_50</v>
      </c>
      <c r="B6" s="120">
        <v>1</v>
      </c>
      <c r="C6" s="47">
        <v>1</v>
      </c>
      <c r="D6" s="121">
        <v>1</v>
      </c>
      <c r="E6" s="120">
        <v>1</v>
      </c>
      <c r="F6" s="49">
        <v>1</v>
      </c>
      <c r="G6" s="121">
        <v>1</v>
      </c>
      <c r="H6" s="120">
        <v>1</v>
      </c>
      <c r="I6" s="49">
        <v>1</v>
      </c>
      <c r="J6" s="121">
        <v>1</v>
      </c>
      <c r="K6" s="120">
        <v>1</v>
      </c>
      <c r="L6" s="49">
        <v>1</v>
      </c>
      <c r="M6" s="121">
        <v>1</v>
      </c>
      <c r="N6" s="120">
        <v>1</v>
      </c>
      <c r="O6" s="49">
        <v>1</v>
      </c>
      <c r="P6" s="121">
        <v>1</v>
      </c>
      <c r="Q6">
        <v>50</v>
      </c>
      <c r="R6" t="s">
        <v>0</v>
      </c>
    </row>
    <row r="7" spans="1:18" x14ac:dyDescent="0.2">
      <c r="A7" t="str">
        <f t="shared" si="0"/>
        <v>NBV15_60</v>
      </c>
      <c r="B7" s="120">
        <v>0.94</v>
      </c>
      <c r="C7" s="47">
        <v>1</v>
      </c>
      <c r="D7" s="121">
        <v>1</v>
      </c>
      <c r="E7" s="120">
        <v>0.94</v>
      </c>
      <c r="F7" s="49">
        <v>1</v>
      </c>
      <c r="G7" s="121">
        <v>1</v>
      </c>
      <c r="H7" s="120">
        <v>0.94</v>
      </c>
      <c r="I7" s="49">
        <v>1</v>
      </c>
      <c r="J7" s="121">
        <v>1</v>
      </c>
      <c r="K7" s="120">
        <v>0.94</v>
      </c>
      <c r="L7" s="49">
        <v>1</v>
      </c>
      <c r="M7" s="121">
        <v>1</v>
      </c>
      <c r="N7" s="120">
        <v>0.94</v>
      </c>
      <c r="O7" s="49">
        <v>1</v>
      </c>
      <c r="P7" s="121">
        <v>1</v>
      </c>
      <c r="Q7">
        <v>60</v>
      </c>
      <c r="R7" t="s">
        <v>0</v>
      </c>
    </row>
    <row r="8" spans="1:18" x14ac:dyDescent="0.2">
      <c r="A8" t="str">
        <f t="shared" si="0"/>
        <v>NBV15_70</v>
      </c>
      <c r="B8" s="120">
        <v>0.88</v>
      </c>
      <c r="C8" s="47">
        <v>1</v>
      </c>
      <c r="D8" s="121">
        <v>1</v>
      </c>
      <c r="E8" s="120">
        <v>0.88</v>
      </c>
      <c r="F8" s="49">
        <v>1</v>
      </c>
      <c r="G8" s="121">
        <v>1</v>
      </c>
      <c r="H8" s="120">
        <v>0.88</v>
      </c>
      <c r="I8" s="49">
        <v>1</v>
      </c>
      <c r="J8" s="121">
        <v>1</v>
      </c>
      <c r="K8" s="120">
        <v>0.88</v>
      </c>
      <c r="L8" s="49">
        <v>1</v>
      </c>
      <c r="M8" s="121">
        <v>1</v>
      </c>
      <c r="N8" s="120">
        <v>0.88</v>
      </c>
      <c r="O8" s="49">
        <v>1</v>
      </c>
      <c r="P8" s="121">
        <v>1</v>
      </c>
      <c r="Q8">
        <v>70</v>
      </c>
      <c r="R8" t="s">
        <v>0</v>
      </c>
    </row>
    <row r="9" spans="1:18" x14ac:dyDescent="0.2">
      <c r="A9" t="str">
        <f t="shared" si="0"/>
        <v>NBV15_75</v>
      </c>
      <c r="B9" s="120">
        <v>0.85</v>
      </c>
      <c r="C9" s="47">
        <v>1</v>
      </c>
      <c r="D9" s="121">
        <v>1</v>
      </c>
      <c r="E9" s="120">
        <v>0.85</v>
      </c>
      <c r="F9" s="49">
        <v>1</v>
      </c>
      <c r="G9" s="121">
        <v>1</v>
      </c>
      <c r="H9" s="120">
        <v>0.85</v>
      </c>
      <c r="I9" s="49">
        <v>1</v>
      </c>
      <c r="J9" s="121">
        <v>1</v>
      </c>
      <c r="K9" s="120">
        <v>0.85</v>
      </c>
      <c r="L9" s="49">
        <v>1</v>
      </c>
      <c r="M9" s="121">
        <v>1</v>
      </c>
      <c r="N9" s="120">
        <v>0.85</v>
      </c>
      <c r="O9" s="49">
        <v>1</v>
      </c>
      <c r="P9" s="121">
        <v>1</v>
      </c>
      <c r="Q9">
        <v>75</v>
      </c>
      <c r="R9" t="s">
        <v>0</v>
      </c>
    </row>
    <row r="10" spans="1:18" x14ac:dyDescent="0.2">
      <c r="A10" t="str">
        <f t="shared" si="0"/>
        <v>NBV15_80</v>
      </c>
      <c r="B10" s="120">
        <v>0.82</v>
      </c>
      <c r="C10" s="47">
        <v>1</v>
      </c>
      <c r="D10" s="121">
        <v>1</v>
      </c>
      <c r="E10" s="120">
        <v>0.82</v>
      </c>
      <c r="F10" s="49">
        <v>1</v>
      </c>
      <c r="G10" s="121">
        <v>1</v>
      </c>
      <c r="H10" s="120">
        <v>0.82</v>
      </c>
      <c r="I10" s="49">
        <v>1</v>
      </c>
      <c r="J10" s="121">
        <v>1</v>
      </c>
      <c r="K10" s="120">
        <v>0.82</v>
      </c>
      <c r="L10" s="49">
        <v>1</v>
      </c>
      <c r="M10" s="121">
        <v>1</v>
      </c>
      <c r="N10" s="120">
        <v>0.82</v>
      </c>
      <c r="O10" s="49">
        <v>1</v>
      </c>
      <c r="P10" s="121">
        <v>1</v>
      </c>
      <c r="Q10">
        <v>80</v>
      </c>
      <c r="R10" t="s">
        <v>0</v>
      </c>
    </row>
    <row r="11" spans="1:18" x14ac:dyDescent="0.2">
      <c r="A11" t="str">
        <f t="shared" si="0"/>
        <v>NBV15_90</v>
      </c>
      <c r="B11" s="120">
        <v>0.76</v>
      </c>
      <c r="C11" s="47">
        <v>1</v>
      </c>
      <c r="D11" s="121">
        <v>1</v>
      </c>
      <c r="E11" s="120">
        <v>0.76</v>
      </c>
      <c r="F11" s="49">
        <v>1</v>
      </c>
      <c r="G11" s="121">
        <v>1</v>
      </c>
      <c r="H11" s="120">
        <v>0.76</v>
      </c>
      <c r="I11" s="49">
        <v>1</v>
      </c>
      <c r="J11" s="121">
        <v>1</v>
      </c>
      <c r="K11" s="120">
        <v>0.76</v>
      </c>
      <c r="L11" s="49">
        <v>1</v>
      </c>
      <c r="M11" s="121">
        <v>1</v>
      </c>
      <c r="N11" s="120">
        <v>0.76</v>
      </c>
      <c r="O11" s="49">
        <v>1</v>
      </c>
      <c r="P11" s="121">
        <v>1</v>
      </c>
      <c r="Q11">
        <v>90</v>
      </c>
      <c r="R11" t="s">
        <v>0</v>
      </c>
    </row>
    <row r="12" spans="1:18" x14ac:dyDescent="0.2">
      <c r="A12" t="str">
        <f t="shared" si="0"/>
        <v>NBV15_100</v>
      </c>
      <c r="B12" s="120">
        <v>0.7</v>
      </c>
      <c r="C12" s="47">
        <v>1</v>
      </c>
      <c r="D12" s="121">
        <v>1</v>
      </c>
      <c r="E12" s="120">
        <v>0.7</v>
      </c>
      <c r="F12" s="49">
        <v>1</v>
      </c>
      <c r="G12" s="121">
        <v>1</v>
      </c>
      <c r="H12" s="120">
        <v>0.7</v>
      </c>
      <c r="I12" s="49">
        <v>1</v>
      </c>
      <c r="J12" s="121">
        <v>1</v>
      </c>
      <c r="K12" s="120">
        <v>0.7</v>
      </c>
      <c r="L12" s="49">
        <v>1</v>
      </c>
      <c r="M12" s="121">
        <v>1</v>
      </c>
      <c r="N12" s="120">
        <v>0.7</v>
      </c>
      <c r="O12" s="49">
        <v>1</v>
      </c>
      <c r="P12" s="121">
        <v>1</v>
      </c>
      <c r="Q12">
        <v>100</v>
      </c>
      <c r="R12" t="s">
        <v>0</v>
      </c>
    </row>
    <row r="13" spans="1:18" x14ac:dyDescent="0.2">
      <c r="A13" t="str">
        <f t="shared" si="0"/>
        <v>NBV15_110</v>
      </c>
      <c r="B13" s="120">
        <v>0.7</v>
      </c>
      <c r="C13" s="49">
        <v>1</v>
      </c>
      <c r="D13" s="121">
        <v>0.875</v>
      </c>
      <c r="E13" s="120">
        <v>0.7</v>
      </c>
      <c r="F13" s="49">
        <v>1</v>
      </c>
      <c r="G13" s="121">
        <v>0.875</v>
      </c>
      <c r="H13" s="120">
        <v>0.7</v>
      </c>
      <c r="I13" s="49">
        <v>1</v>
      </c>
      <c r="J13" s="121">
        <v>0.875</v>
      </c>
      <c r="K13" s="120">
        <v>0.7</v>
      </c>
      <c r="L13" s="49">
        <v>1</v>
      </c>
      <c r="M13" s="121">
        <v>0.875</v>
      </c>
      <c r="N13" s="120">
        <v>0.7</v>
      </c>
      <c r="O13" s="49">
        <v>1</v>
      </c>
      <c r="P13" s="121">
        <v>0.75</v>
      </c>
      <c r="Q13" s="49">
        <v>110</v>
      </c>
      <c r="R13" t="s">
        <v>0</v>
      </c>
    </row>
    <row r="14" spans="1:18" x14ac:dyDescent="0.2">
      <c r="A14" t="str">
        <f t="shared" si="0"/>
        <v>NBV15_120</v>
      </c>
      <c r="B14" s="120">
        <v>0.7</v>
      </c>
      <c r="C14" s="49">
        <v>1</v>
      </c>
      <c r="D14" s="121">
        <v>0.75</v>
      </c>
      <c r="E14" s="120">
        <v>0.7</v>
      </c>
      <c r="F14" s="49">
        <v>1</v>
      </c>
      <c r="G14" s="121">
        <v>0.75</v>
      </c>
      <c r="H14" s="120">
        <v>0.7</v>
      </c>
      <c r="I14" s="49">
        <v>1</v>
      </c>
      <c r="J14" s="121">
        <v>0.75</v>
      </c>
      <c r="K14" s="120">
        <v>0.7</v>
      </c>
      <c r="L14" s="49">
        <v>1</v>
      </c>
      <c r="M14" s="121">
        <v>0.75</v>
      </c>
      <c r="N14" s="120">
        <v>0.7</v>
      </c>
      <c r="O14" s="49">
        <v>1</v>
      </c>
      <c r="P14" s="121">
        <v>0.5</v>
      </c>
      <c r="Q14" s="49">
        <v>120</v>
      </c>
      <c r="R14" t="s">
        <v>0</v>
      </c>
    </row>
    <row r="15" spans="1:18" x14ac:dyDescent="0.2">
      <c r="A15" t="str">
        <f t="shared" si="0"/>
        <v/>
      </c>
    </row>
    <row r="16" spans="1:18" x14ac:dyDescent="0.2">
      <c r="A16" t="str">
        <f t="shared" si="0"/>
        <v>NBV12_U_10</v>
      </c>
      <c r="B16" s="120">
        <v>1.4</v>
      </c>
      <c r="C16" s="47">
        <v>1</v>
      </c>
      <c r="D16" s="121">
        <v>1</v>
      </c>
      <c r="E16" s="120">
        <v>10</v>
      </c>
      <c r="F16" s="49">
        <v>1</v>
      </c>
      <c r="G16" s="121">
        <v>1</v>
      </c>
      <c r="H16" s="120">
        <v>2</v>
      </c>
      <c r="I16" s="49">
        <v>1</v>
      </c>
      <c r="J16" s="121">
        <v>1</v>
      </c>
      <c r="K16" s="120">
        <v>1.7</v>
      </c>
      <c r="L16" s="49">
        <v>1</v>
      </c>
      <c r="M16" s="121">
        <v>1</v>
      </c>
      <c r="N16" s="120">
        <v>2</v>
      </c>
      <c r="O16" s="49">
        <v>1</v>
      </c>
      <c r="P16" s="121">
        <v>1</v>
      </c>
      <c r="Q16">
        <v>10</v>
      </c>
      <c r="R16" t="s">
        <v>74</v>
      </c>
    </row>
    <row r="17" spans="1:18" x14ac:dyDescent="0.2">
      <c r="A17" t="str">
        <f t="shared" si="0"/>
        <v>NBV12_U_20</v>
      </c>
      <c r="B17" s="120">
        <v>1.3</v>
      </c>
      <c r="C17" s="47">
        <v>1</v>
      </c>
      <c r="D17" s="121">
        <v>1</v>
      </c>
      <c r="E17" s="120">
        <v>7.75</v>
      </c>
      <c r="F17" s="49">
        <v>1</v>
      </c>
      <c r="G17" s="121">
        <v>1</v>
      </c>
      <c r="H17" s="120">
        <v>1.75</v>
      </c>
      <c r="I17" s="49">
        <v>1</v>
      </c>
      <c r="J17" s="121">
        <v>1</v>
      </c>
      <c r="K17" s="120">
        <v>1.5249999999999999</v>
      </c>
      <c r="L17" s="49">
        <v>1</v>
      </c>
      <c r="M17" s="121">
        <v>1</v>
      </c>
      <c r="N17" s="120">
        <v>1.75</v>
      </c>
      <c r="O17" s="49">
        <v>1</v>
      </c>
      <c r="P17" s="121">
        <v>1</v>
      </c>
      <c r="Q17">
        <v>20</v>
      </c>
      <c r="R17" t="s">
        <v>74</v>
      </c>
    </row>
    <row r="18" spans="1:18" x14ac:dyDescent="0.2">
      <c r="A18" t="str">
        <f t="shared" si="0"/>
        <v>NBV12_U_30</v>
      </c>
      <c r="B18" s="120">
        <v>1.2</v>
      </c>
      <c r="C18" s="47">
        <v>1</v>
      </c>
      <c r="D18" s="121">
        <v>1</v>
      </c>
      <c r="E18" s="120">
        <v>5.5</v>
      </c>
      <c r="F18" s="49">
        <v>1</v>
      </c>
      <c r="G18" s="121">
        <v>1</v>
      </c>
      <c r="H18" s="120">
        <v>1.5</v>
      </c>
      <c r="I18" s="49">
        <v>1</v>
      </c>
      <c r="J18" s="121">
        <v>1</v>
      </c>
      <c r="K18" s="120">
        <v>1.35</v>
      </c>
      <c r="L18" s="49">
        <v>1</v>
      </c>
      <c r="M18" s="121">
        <v>1</v>
      </c>
      <c r="N18" s="120">
        <v>1.5</v>
      </c>
      <c r="O18" s="49">
        <v>1</v>
      </c>
      <c r="P18" s="121">
        <v>1</v>
      </c>
      <c r="Q18">
        <v>30</v>
      </c>
      <c r="R18" t="s">
        <v>74</v>
      </c>
    </row>
    <row r="19" spans="1:18" x14ac:dyDescent="0.2">
      <c r="A19" t="str">
        <f t="shared" si="0"/>
        <v>NBV12_U_40</v>
      </c>
      <c r="B19" s="120">
        <v>1.1000000000000001</v>
      </c>
      <c r="C19" s="47">
        <v>1</v>
      </c>
      <c r="D19" s="121">
        <v>1</v>
      </c>
      <c r="E19" s="120">
        <v>3.25</v>
      </c>
      <c r="F19" s="49">
        <v>1</v>
      </c>
      <c r="G19" s="121">
        <v>1</v>
      </c>
      <c r="H19" s="120">
        <v>1.25</v>
      </c>
      <c r="I19" s="49">
        <v>1</v>
      </c>
      <c r="J19" s="121">
        <v>1</v>
      </c>
      <c r="K19" s="120">
        <v>1.175</v>
      </c>
      <c r="L19" s="49">
        <v>1</v>
      </c>
      <c r="M19" s="121">
        <v>1</v>
      </c>
      <c r="N19" s="120">
        <v>1.25</v>
      </c>
      <c r="O19" s="49">
        <v>1</v>
      </c>
      <c r="P19" s="121">
        <v>1</v>
      </c>
      <c r="Q19">
        <v>40</v>
      </c>
      <c r="R19" t="s">
        <v>74</v>
      </c>
    </row>
    <row r="20" spans="1:18" x14ac:dyDescent="0.2">
      <c r="A20" t="str">
        <f t="shared" si="0"/>
        <v>NBV12_U_50</v>
      </c>
      <c r="B20" s="120">
        <v>1</v>
      </c>
      <c r="C20" s="47">
        <v>1</v>
      </c>
      <c r="D20" s="121">
        <v>1</v>
      </c>
      <c r="E20" s="120">
        <v>1</v>
      </c>
      <c r="F20" s="49">
        <v>1</v>
      </c>
      <c r="G20" s="121">
        <v>1</v>
      </c>
      <c r="H20" s="120">
        <v>1</v>
      </c>
      <c r="I20" s="49">
        <v>1</v>
      </c>
      <c r="J20" s="121">
        <v>1</v>
      </c>
      <c r="K20" s="120">
        <v>1</v>
      </c>
      <c r="L20" s="49">
        <v>1</v>
      </c>
      <c r="M20" s="121">
        <v>1</v>
      </c>
      <c r="N20" s="120">
        <v>1</v>
      </c>
      <c r="O20" s="49">
        <v>1</v>
      </c>
      <c r="P20" s="121">
        <v>1</v>
      </c>
      <c r="Q20">
        <v>50</v>
      </c>
      <c r="R20" t="s">
        <v>74</v>
      </c>
    </row>
    <row r="21" spans="1:18" x14ac:dyDescent="0.2">
      <c r="A21" t="str">
        <f t="shared" si="0"/>
        <v>NBV12_U_60</v>
      </c>
      <c r="B21" s="120">
        <v>0.94</v>
      </c>
      <c r="C21" s="47">
        <v>1</v>
      </c>
      <c r="D21" s="121">
        <v>1</v>
      </c>
      <c r="E21" s="120">
        <v>0.94</v>
      </c>
      <c r="F21" s="49">
        <v>1</v>
      </c>
      <c r="G21" s="121">
        <v>1</v>
      </c>
      <c r="H21" s="120">
        <v>0.94</v>
      </c>
      <c r="I21" s="49">
        <v>1</v>
      </c>
      <c r="J21" s="121">
        <v>1</v>
      </c>
      <c r="K21" s="120">
        <v>0.94</v>
      </c>
      <c r="L21" s="49">
        <v>1</v>
      </c>
      <c r="M21" s="121">
        <v>1</v>
      </c>
      <c r="N21" s="120">
        <v>0.94</v>
      </c>
      <c r="O21" s="49">
        <v>1</v>
      </c>
      <c r="P21" s="121">
        <v>1</v>
      </c>
      <c r="Q21">
        <v>60</v>
      </c>
      <c r="R21" t="s">
        <v>74</v>
      </c>
    </row>
    <row r="22" spans="1:18" x14ac:dyDescent="0.2">
      <c r="A22" t="str">
        <f t="shared" si="0"/>
        <v>NBV12_U_70</v>
      </c>
      <c r="B22" s="120">
        <v>0.88</v>
      </c>
      <c r="C22" s="47">
        <v>1</v>
      </c>
      <c r="D22" s="121">
        <v>1</v>
      </c>
      <c r="E22" s="120">
        <v>0.88</v>
      </c>
      <c r="F22" s="49">
        <v>1</v>
      </c>
      <c r="G22" s="121">
        <v>1</v>
      </c>
      <c r="H22" s="120">
        <v>0.88</v>
      </c>
      <c r="I22" s="49">
        <v>1</v>
      </c>
      <c r="J22" s="121">
        <v>1</v>
      </c>
      <c r="K22" s="120">
        <v>0.88</v>
      </c>
      <c r="L22" s="49">
        <v>1</v>
      </c>
      <c r="M22" s="121">
        <v>1</v>
      </c>
      <c r="N22" s="120">
        <v>0.88</v>
      </c>
      <c r="O22" s="49">
        <v>1</v>
      </c>
      <c r="P22" s="121">
        <v>1</v>
      </c>
      <c r="Q22">
        <v>70</v>
      </c>
      <c r="R22" t="s">
        <v>74</v>
      </c>
    </row>
    <row r="23" spans="1:18" x14ac:dyDescent="0.2">
      <c r="A23" t="str">
        <f t="shared" si="0"/>
        <v>NBV12_U_75</v>
      </c>
      <c r="B23" s="120">
        <v>0.85</v>
      </c>
      <c r="C23" s="47">
        <v>1</v>
      </c>
      <c r="D23" s="121">
        <v>1</v>
      </c>
      <c r="E23" s="120">
        <v>0.85</v>
      </c>
      <c r="F23" s="49">
        <v>1</v>
      </c>
      <c r="G23" s="121">
        <v>1</v>
      </c>
      <c r="H23" s="120">
        <v>0.85</v>
      </c>
      <c r="I23" s="49">
        <v>1</v>
      </c>
      <c r="J23" s="121">
        <v>1</v>
      </c>
      <c r="K23" s="120">
        <v>0.85</v>
      </c>
      <c r="L23" s="49">
        <v>1</v>
      </c>
      <c r="M23" s="121">
        <v>1</v>
      </c>
      <c r="N23" s="120">
        <v>0.85</v>
      </c>
      <c r="O23" s="49">
        <v>1</v>
      </c>
      <c r="P23" s="121">
        <v>1</v>
      </c>
      <c r="Q23">
        <v>75</v>
      </c>
      <c r="R23" t="s">
        <v>74</v>
      </c>
    </row>
    <row r="24" spans="1:18" x14ac:dyDescent="0.2">
      <c r="A24" t="str">
        <f t="shared" si="0"/>
        <v>NBV12_U_80</v>
      </c>
      <c r="B24" s="120">
        <v>0.82</v>
      </c>
      <c r="C24" s="47">
        <v>1</v>
      </c>
      <c r="D24" s="121">
        <v>1</v>
      </c>
      <c r="E24" s="120">
        <v>0.82</v>
      </c>
      <c r="F24" s="49">
        <v>1</v>
      </c>
      <c r="G24" s="121">
        <v>1</v>
      </c>
      <c r="H24" s="120">
        <v>0.82</v>
      </c>
      <c r="I24" s="49">
        <v>1</v>
      </c>
      <c r="J24" s="121">
        <v>1</v>
      </c>
      <c r="K24" s="120">
        <v>0.82</v>
      </c>
      <c r="L24" s="49">
        <v>1</v>
      </c>
      <c r="M24" s="121">
        <v>1</v>
      </c>
      <c r="N24" s="120">
        <v>0.82</v>
      </c>
      <c r="O24" s="49">
        <v>1</v>
      </c>
      <c r="P24" s="121">
        <v>1</v>
      </c>
      <c r="Q24">
        <v>80</v>
      </c>
      <c r="R24" t="s">
        <v>74</v>
      </c>
    </row>
    <row r="25" spans="1:18" x14ac:dyDescent="0.2">
      <c r="A25" t="str">
        <f t="shared" si="0"/>
        <v>NBV12_U_90</v>
      </c>
      <c r="B25" s="120">
        <v>0.76</v>
      </c>
      <c r="C25" s="47">
        <v>1</v>
      </c>
      <c r="D25" s="121">
        <v>1</v>
      </c>
      <c r="E25" s="120">
        <v>0.76</v>
      </c>
      <c r="F25" s="49">
        <v>1</v>
      </c>
      <c r="G25" s="121">
        <v>1</v>
      </c>
      <c r="H25" s="120">
        <v>0.76</v>
      </c>
      <c r="I25" s="49">
        <v>1</v>
      </c>
      <c r="J25" s="121">
        <v>1</v>
      </c>
      <c r="K25" s="120">
        <v>0.76</v>
      </c>
      <c r="L25" s="49">
        <v>1</v>
      </c>
      <c r="M25" s="121">
        <v>1</v>
      </c>
      <c r="N25" s="120">
        <v>0.76</v>
      </c>
      <c r="O25" s="49">
        <v>1</v>
      </c>
      <c r="P25" s="121">
        <v>1</v>
      </c>
      <c r="Q25">
        <v>90</v>
      </c>
      <c r="R25" t="s">
        <v>74</v>
      </c>
    </row>
    <row r="26" spans="1:18" x14ac:dyDescent="0.2">
      <c r="A26" t="str">
        <f t="shared" si="0"/>
        <v>NBV12_U_100</v>
      </c>
      <c r="B26" s="120">
        <v>0.7</v>
      </c>
      <c r="C26" s="47">
        <v>1</v>
      </c>
      <c r="D26" s="121">
        <v>1</v>
      </c>
      <c r="E26" s="120">
        <v>0.7</v>
      </c>
      <c r="F26" s="49">
        <v>1</v>
      </c>
      <c r="G26" s="121">
        <v>1</v>
      </c>
      <c r="H26" s="120">
        <v>0.7</v>
      </c>
      <c r="I26" s="49">
        <v>1</v>
      </c>
      <c r="J26" s="121">
        <v>1</v>
      </c>
      <c r="K26" s="120">
        <v>0.7</v>
      </c>
      <c r="L26" s="49">
        <v>1</v>
      </c>
      <c r="M26" s="121">
        <v>1</v>
      </c>
      <c r="N26" s="120">
        <v>0.7</v>
      </c>
      <c r="O26" s="49">
        <v>1</v>
      </c>
      <c r="P26" s="121">
        <v>1</v>
      </c>
      <c r="Q26">
        <v>100</v>
      </c>
      <c r="R26" t="s">
        <v>74</v>
      </c>
    </row>
    <row r="27" spans="1:18" x14ac:dyDescent="0.2">
      <c r="A27" t="str">
        <f t="shared" si="0"/>
        <v/>
      </c>
    </row>
    <row r="28" spans="1:18" x14ac:dyDescent="0.2">
      <c r="A28" t="str">
        <f t="shared" si="0"/>
        <v>NBI15_10</v>
      </c>
      <c r="B28" s="120">
        <v>1.4</v>
      </c>
      <c r="C28" s="47">
        <v>1</v>
      </c>
      <c r="D28" s="121">
        <v>1</v>
      </c>
      <c r="E28" s="120">
        <v>10</v>
      </c>
      <c r="F28" s="49">
        <v>1</v>
      </c>
      <c r="G28" s="121">
        <v>1</v>
      </c>
      <c r="H28" s="120">
        <v>2</v>
      </c>
      <c r="I28" s="49">
        <v>1</v>
      </c>
      <c r="J28" s="121">
        <v>1</v>
      </c>
      <c r="K28" s="120">
        <v>1.7</v>
      </c>
      <c r="L28" s="49">
        <v>1</v>
      </c>
      <c r="M28" s="121">
        <v>1</v>
      </c>
      <c r="N28" s="120">
        <v>2</v>
      </c>
      <c r="O28" s="49">
        <v>1</v>
      </c>
      <c r="P28" s="121">
        <v>1</v>
      </c>
      <c r="Q28">
        <v>10</v>
      </c>
      <c r="R28" t="s">
        <v>76</v>
      </c>
    </row>
    <row r="29" spans="1:18" x14ac:dyDescent="0.2">
      <c r="A29" t="str">
        <f t="shared" si="0"/>
        <v>NBI15_20</v>
      </c>
      <c r="B29" s="120">
        <v>1.3</v>
      </c>
      <c r="C29" s="47">
        <v>1</v>
      </c>
      <c r="D29" s="121">
        <v>1</v>
      </c>
      <c r="E29" s="120">
        <v>7.75</v>
      </c>
      <c r="F29" s="49">
        <v>1</v>
      </c>
      <c r="G29" s="121">
        <v>1</v>
      </c>
      <c r="H29" s="120">
        <v>1.75</v>
      </c>
      <c r="I29" s="49">
        <v>1</v>
      </c>
      <c r="J29" s="121">
        <v>1</v>
      </c>
      <c r="K29" s="120">
        <v>1.5249999999999999</v>
      </c>
      <c r="L29" s="49">
        <v>1</v>
      </c>
      <c r="M29" s="121">
        <v>1</v>
      </c>
      <c r="N29" s="120">
        <v>1.75</v>
      </c>
      <c r="O29" s="49">
        <v>1</v>
      </c>
      <c r="P29" s="121">
        <v>1</v>
      </c>
      <c r="Q29">
        <v>20</v>
      </c>
      <c r="R29" t="s">
        <v>76</v>
      </c>
    </row>
    <row r="30" spans="1:18" x14ac:dyDescent="0.2">
      <c r="A30" t="str">
        <f t="shared" si="0"/>
        <v>NBI15_30</v>
      </c>
      <c r="B30" s="120">
        <v>1.2</v>
      </c>
      <c r="C30" s="47">
        <v>1</v>
      </c>
      <c r="D30" s="121">
        <v>1</v>
      </c>
      <c r="E30" s="120">
        <v>5.5</v>
      </c>
      <c r="F30" s="49">
        <v>1</v>
      </c>
      <c r="G30" s="121">
        <v>1</v>
      </c>
      <c r="H30" s="120">
        <v>1.5</v>
      </c>
      <c r="I30" s="49">
        <v>1</v>
      </c>
      <c r="J30" s="121">
        <v>1</v>
      </c>
      <c r="K30" s="120">
        <v>1.35</v>
      </c>
      <c r="L30" s="49">
        <v>1</v>
      </c>
      <c r="M30" s="121">
        <v>1</v>
      </c>
      <c r="N30" s="120">
        <v>1.5</v>
      </c>
      <c r="O30" s="49">
        <v>1</v>
      </c>
      <c r="P30" s="121">
        <v>1</v>
      </c>
      <c r="Q30">
        <v>30</v>
      </c>
      <c r="R30" t="s">
        <v>76</v>
      </c>
    </row>
    <row r="31" spans="1:18" x14ac:dyDescent="0.2">
      <c r="A31" t="str">
        <f t="shared" si="0"/>
        <v>NBI15_40</v>
      </c>
      <c r="B31" s="120">
        <v>1.1000000000000001</v>
      </c>
      <c r="C31" s="47">
        <v>1</v>
      </c>
      <c r="D31" s="121">
        <v>1</v>
      </c>
      <c r="E31" s="120">
        <v>3.25</v>
      </c>
      <c r="F31" s="49">
        <v>1</v>
      </c>
      <c r="G31" s="121">
        <v>1</v>
      </c>
      <c r="H31" s="120">
        <v>1.25</v>
      </c>
      <c r="I31" s="49">
        <v>1</v>
      </c>
      <c r="J31" s="121">
        <v>1</v>
      </c>
      <c r="K31" s="120">
        <v>1.175</v>
      </c>
      <c r="L31" s="49">
        <v>1</v>
      </c>
      <c r="M31" s="121">
        <v>1</v>
      </c>
      <c r="N31" s="120">
        <v>1.25</v>
      </c>
      <c r="O31" s="49">
        <v>1</v>
      </c>
      <c r="P31" s="121">
        <v>1</v>
      </c>
      <c r="Q31">
        <v>40</v>
      </c>
      <c r="R31" t="s">
        <v>76</v>
      </c>
    </row>
    <row r="32" spans="1:18" x14ac:dyDescent="0.2">
      <c r="A32" t="str">
        <f t="shared" si="0"/>
        <v>NBI15_50</v>
      </c>
      <c r="B32" s="120">
        <v>1</v>
      </c>
      <c r="C32" s="47">
        <v>1</v>
      </c>
      <c r="D32" s="121">
        <v>1</v>
      </c>
      <c r="E32" s="120">
        <v>1</v>
      </c>
      <c r="F32" s="49">
        <v>1</v>
      </c>
      <c r="G32" s="121">
        <v>1</v>
      </c>
      <c r="H32" s="120">
        <v>1</v>
      </c>
      <c r="I32" s="49">
        <v>1</v>
      </c>
      <c r="J32" s="121">
        <v>1</v>
      </c>
      <c r="K32" s="120">
        <v>1</v>
      </c>
      <c r="L32" s="49">
        <v>1</v>
      </c>
      <c r="M32" s="121">
        <v>1</v>
      </c>
      <c r="N32" s="120">
        <v>1</v>
      </c>
      <c r="O32" s="49">
        <v>1</v>
      </c>
      <c r="P32" s="121">
        <v>1</v>
      </c>
      <c r="Q32">
        <v>50</v>
      </c>
      <c r="R32" t="s">
        <v>76</v>
      </c>
    </row>
    <row r="33" spans="1:18" x14ac:dyDescent="0.2">
      <c r="A33" t="str">
        <f t="shared" si="0"/>
        <v>NBI15_60</v>
      </c>
      <c r="B33" s="120">
        <v>0.9</v>
      </c>
      <c r="C33" s="47">
        <v>1</v>
      </c>
      <c r="D33" s="121">
        <v>1</v>
      </c>
      <c r="E33" s="120">
        <v>0.94</v>
      </c>
      <c r="F33" s="47">
        <v>1</v>
      </c>
      <c r="G33" s="121">
        <v>1</v>
      </c>
      <c r="H33" s="120">
        <v>0.94</v>
      </c>
      <c r="I33" s="47">
        <v>1</v>
      </c>
      <c r="J33" s="121">
        <v>1</v>
      </c>
      <c r="K33" s="120">
        <v>0.94</v>
      </c>
      <c r="L33" s="47">
        <v>1</v>
      </c>
      <c r="M33" s="121">
        <v>1</v>
      </c>
      <c r="N33" s="120">
        <v>0.94</v>
      </c>
      <c r="O33" s="47">
        <v>1</v>
      </c>
      <c r="P33" s="121">
        <v>1</v>
      </c>
      <c r="Q33">
        <v>60</v>
      </c>
      <c r="R33" t="s">
        <v>76</v>
      </c>
    </row>
    <row r="34" spans="1:18" x14ac:dyDescent="0.2">
      <c r="A34" t="str">
        <f t="shared" si="0"/>
        <v>NBI15_70</v>
      </c>
      <c r="B34" s="120">
        <v>0.8</v>
      </c>
      <c r="C34" s="47">
        <v>1</v>
      </c>
      <c r="D34" s="121">
        <v>1</v>
      </c>
      <c r="E34" s="120">
        <v>0.88</v>
      </c>
      <c r="F34" s="49">
        <v>1</v>
      </c>
      <c r="G34" s="121">
        <v>1</v>
      </c>
      <c r="H34" s="120">
        <v>0.88</v>
      </c>
      <c r="I34" s="49">
        <v>1</v>
      </c>
      <c r="J34" s="121">
        <v>1</v>
      </c>
      <c r="K34" s="120">
        <v>0.88</v>
      </c>
      <c r="L34" s="49">
        <v>1</v>
      </c>
      <c r="M34" s="121">
        <v>1</v>
      </c>
      <c r="N34" s="120">
        <v>0.88</v>
      </c>
      <c r="O34" s="49">
        <v>1</v>
      </c>
      <c r="P34" s="121">
        <v>1</v>
      </c>
      <c r="Q34">
        <v>70</v>
      </c>
      <c r="R34" t="s">
        <v>76</v>
      </c>
    </row>
    <row r="35" spans="1:18" x14ac:dyDescent="0.2">
      <c r="A35" t="str">
        <f t="shared" si="0"/>
        <v>NBI15_75</v>
      </c>
      <c r="B35" s="120">
        <v>0.75</v>
      </c>
      <c r="C35" s="47">
        <v>1</v>
      </c>
      <c r="D35" s="121">
        <v>1</v>
      </c>
      <c r="E35" s="120">
        <v>0.85</v>
      </c>
      <c r="F35" s="49">
        <v>1</v>
      </c>
      <c r="G35" s="121">
        <v>1</v>
      </c>
      <c r="H35" s="120">
        <v>0.85</v>
      </c>
      <c r="I35" s="49">
        <v>1</v>
      </c>
      <c r="J35" s="121">
        <v>1</v>
      </c>
      <c r="K35" s="120">
        <v>0.85</v>
      </c>
      <c r="L35" s="49">
        <v>1</v>
      </c>
      <c r="M35" s="121">
        <v>1</v>
      </c>
      <c r="N35" s="120">
        <v>0.85</v>
      </c>
      <c r="O35" s="49">
        <v>1</v>
      </c>
      <c r="P35" s="121">
        <v>1</v>
      </c>
      <c r="Q35">
        <v>75</v>
      </c>
      <c r="R35" t="s">
        <v>76</v>
      </c>
    </row>
    <row r="36" spans="1:18" x14ac:dyDescent="0.2">
      <c r="A36" t="str">
        <f t="shared" si="0"/>
        <v>NBI15_80</v>
      </c>
      <c r="B36" s="120">
        <v>0.7</v>
      </c>
      <c r="C36" s="47">
        <v>1</v>
      </c>
      <c r="D36" s="121">
        <v>1</v>
      </c>
      <c r="E36" s="120">
        <v>0.82</v>
      </c>
      <c r="F36" s="49">
        <v>1</v>
      </c>
      <c r="G36" s="121">
        <v>1</v>
      </c>
      <c r="H36" s="120">
        <v>0.82</v>
      </c>
      <c r="I36" s="49">
        <v>1</v>
      </c>
      <c r="J36" s="121">
        <v>1</v>
      </c>
      <c r="K36" s="120">
        <v>0.82</v>
      </c>
      <c r="L36" s="49">
        <v>1</v>
      </c>
      <c r="M36" s="121">
        <v>1</v>
      </c>
      <c r="N36" s="120">
        <v>0.82</v>
      </c>
      <c r="O36" s="49">
        <v>1</v>
      </c>
      <c r="P36" s="121">
        <v>1</v>
      </c>
      <c r="Q36">
        <v>80</v>
      </c>
      <c r="R36" t="s">
        <v>76</v>
      </c>
    </row>
    <row r="37" spans="1:18" x14ac:dyDescent="0.2">
      <c r="A37" t="str">
        <f t="shared" si="0"/>
        <v>NBI15_90</v>
      </c>
      <c r="B37" s="120">
        <v>0.6</v>
      </c>
      <c r="C37" s="47">
        <v>1</v>
      </c>
      <c r="D37" s="121">
        <v>1</v>
      </c>
      <c r="E37" s="120">
        <v>0.76</v>
      </c>
      <c r="F37" s="49">
        <v>1</v>
      </c>
      <c r="G37" s="121">
        <v>1</v>
      </c>
      <c r="H37" s="120">
        <v>0.76</v>
      </c>
      <c r="I37" s="49">
        <v>1</v>
      </c>
      <c r="J37" s="121">
        <v>1</v>
      </c>
      <c r="K37" s="120">
        <v>0.76</v>
      </c>
      <c r="L37" s="49">
        <v>1</v>
      </c>
      <c r="M37" s="121">
        <v>1</v>
      </c>
      <c r="N37" s="120">
        <v>0.76</v>
      </c>
      <c r="O37" s="49">
        <v>1</v>
      </c>
      <c r="P37" s="121">
        <v>1</v>
      </c>
      <c r="Q37">
        <v>90</v>
      </c>
      <c r="R37" t="s">
        <v>76</v>
      </c>
    </row>
    <row r="38" spans="1:18" x14ac:dyDescent="0.2">
      <c r="A38" t="str">
        <f t="shared" si="0"/>
        <v>NBI15_100</v>
      </c>
      <c r="B38" s="120">
        <v>0.5</v>
      </c>
      <c r="C38" s="49">
        <v>1</v>
      </c>
      <c r="D38" s="121">
        <v>1</v>
      </c>
      <c r="E38" s="120">
        <v>0.7</v>
      </c>
      <c r="F38" s="49">
        <v>1</v>
      </c>
      <c r="G38" s="121">
        <v>1</v>
      </c>
      <c r="H38" s="120">
        <v>0.7</v>
      </c>
      <c r="I38" s="49">
        <v>1</v>
      </c>
      <c r="J38" s="121">
        <v>1</v>
      </c>
      <c r="K38" s="120">
        <v>0.7</v>
      </c>
      <c r="L38" s="49">
        <v>1</v>
      </c>
      <c r="M38" s="121">
        <v>1</v>
      </c>
      <c r="N38" s="120">
        <v>0.7</v>
      </c>
      <c r="O38" s="49">
        <v>1</v>
      </c>
      <c r="P38" s="121">
        <v>1</v>
      </c>
      <c r="Q38">
        <v>100</v>
      </c>
      <c r="R38" t="s">
        <v>76</v>
      </c>
    </row>
    <row r="39" spans="1:18" x14ac:dyDescent="0.2">
      <c r="A39" t="str">
        <f t="shared" si="0"/>
        <v>NBI15_110</v>
      </c>
      <c r="B39" s="120">
        <v>0.5</v>
      </c>
      <c r="C39" s="49">
        <v>1</v>
      </c>
      <c r="D39" s="121">
        <v>0.875</v>
      </c>
      <c r="E39" s="120">
        <v>0.7</v>
      </c>
      <c r="F39" s="49">
        <v>1</v>
      </c>
      <c r="G39" s="121">
        <v>0.875</v>
      </c>
      <c r="H39" s="120">
        <v>0.7</v>
      </c>
      <c r="I39" s="49">
        <v>1</v>
      </c>
      <c r="J39" s="121">
        <v>0.875</v>
      </c>
      <c r="K39" s="120">
        <v>0.7</v>
      </c>
      <c r="L39" s="49">
        <v>1</v>
      </c>
      <c r="M39" s="121">
        <v>0.875</v>
      </c>
      <c r="N39" s="120">
        <v>0.7</v>
      </c>
      <c r="O39" s="49">
        <v>1</v>
      </c>
      <c r="P39" s="121">
        <v>0.75</v>
      </c>
      <c r="Q39" s="49">
        <v>110</v>
      </c>
      <c r="R39" t="s">
        <v>76</v>
      </c>
    </row>
    <row r="40" spans="1:18" x14ac:dyDescent="0.2">
      <c r="A40" t="str">
        <f t="shared" si="0"/>
        <v>NBI15_120</v>
      </c>
      <c r="B40" s="120">
        <v>0.5</v>
      </c>
      <c r="C40" s="49">
        <v>1</v>
      </c>
      <c r="D40" s="121">
        <v>0.75</v>
      </c>
      <c r="E40" s="120">
        <v>0.7</v>
      </c>
      <c r="F40" s="49">
        <v>1</v>
      </c>
      <c r="G40" s="121">
        <v>0.75</v>
      </c>
      <c r="H40" s="120">
        <v>0.7</v>
      </c>
      <c r="I40" s="49">
        <v>1</v>
      </c>
      <c r="J40" s="121">
        <v>0.75</v>
      </c>
      <c r="K40" s="120">
        <v>0.7</v>
      </c>
      <c r="L40" s="49">
        <v>1</v>
      </c>
      <c r="M40" s="121">
        <v>0.75</v>
      </c>
      <c r="N40" s="120">
        <v>0.7</v>
      </c>
      <c r="O40" s="49">
        <v>1</v>
      </c>
      <c r="P40" s="121">
        <v>0.5</v>
      </c>
      <c r="Q40" s="49">
        <v>120</v>
      </c>
      <c r="R40" t="s">
        <v>76</v>
      </c>
    </row>
    <row r="41" spans="1:18" x14ac:dyDescent="0.2">
      <c r="A41" t="str">
        <f t="shared" si="0"/>
        <v/>
      </c>
    </row>
    <row r="42" spans="1:18" x14ac:dyDescent="0.2">
      <c r="A42" t="str">
        <f t="shared" si="0"/>
        <v>NBI12_U_10</v>
      </c>
      <c r="B42" s="120">
        <v>1.4</v>
      </c>
      <c r="C42" s="47">
        <v>1</v>
      </c>
      <c r="D42" s="121">
        <v>1</v>
      </c>
      <c r="E42" s="120">
        <v>10</v>
      </c>
      <c r="F42" s="49">
        <v>1</v>
      </c>
      <c r="G42" s="121">
        <v>1</v>
      </c>
      <c r="H42" s="120">
        <v>2</v>
      </c>
      <c r="I42" s="49">
        <v>1</v>
      </c>
      <c r="J42" s="121">
        <v>1</v>
      </c>
      <c r="K42" s="120">
        <v>1.7</v>
      </c>
      <c r="L42" s="49">
        <v>1</v>
      </c>
      <c r="M42" s="121">
        <v>1</v>
      </c>
      <c r="N42" s="120">
        <v>2</v>
      </c>
      <c r="O42" s="49">
        <v>1</v>
      </c>
      <c r="P42" s="121">
        <v>1</v>
      </c>
      <c r="Q42">
        <v>10</v>
      </c>
      <c r="R42" t="s">
        <v>78</v>
      </c>
    </row>
    <row r="43" spans="1:18" x14ac:dyDescent="0.2">
      <c r="A43" t="str">
        <f t="shared" si="0"/>
        <v>NBI12_U_20</v>
      </c>
      <c r="B43" s="120">
        <v>1.3</v>
      </c>
      <c r="C43" s="47">
        <v>1</v>
      </c>
      <c r="D43" s="121">
        <v>1</v>
      </c>
      <c r="E43" s="120">
        <v>7.75</v>
      </c>
      <c r="F43" s="49">
        <v>1</v>
      </c>
      <c r="G43" s="121">
        <v>1</v>
      </c>
      <c r="H43" s="120">
        <v>1.75</v>
      </c>
      <c r="I43" s="49">
        <v>1</v>
      </c>
      <c r="J43" s="121">
        <v>1</v>
      </c>
      <c r="K43" s="120">
        <v>1.5249999999999999</v>
      </c>
      <c r="L43" s="49">
        <v>1</v>
      </c>
      <c r="M43" s="121">
        <v>1</v>
      </c>
      <c r="N43" s="120">
        <v>1.75</v>
      </c>
      <c r="O43" s="49">
        <v>1</v>
      </c>
      <c r="P43" s="121">
        <v>1</v>
      </c>
      <c r="Q43">
        <v>20</v>
      </c>
      <c r="R43" t="s">
        <v>78</v>
      </c>
    </row>
    <row r="44" spans="1:18" x14ac:dyDescent="0.2">
      <c r="A44" t="str">
        <f t="shared" si="0"/>
        <v>NBI12_U_30</v>
      </c>
      <c r="B44" s="120">
        <v>1.2</v>
      </c>
      <c r="C44" s="47">
        <v>1</v>
      </c>
      <c r="D44" s="121">
        <v>1</v>
      </c>
      <c r="E44" s="120">
        <v>5.5</v>
      </c>
      <c r="F44" s="49">
        <v>1</v>
      </c>
      <c r="G44" s="121">
        <v>1</v>
      </c>
      <c r="H44" s="120">
        <v>1.5</v>
      </c>
      <c r="I44" s="49">
        <v>1</v>
      </c>
      <c r="J44" s="121">
        <v>1</v>
      </c>
      <c r="K44" s="120">
        <v>1.35</v>
      </c>
      <c r="L44" s="49">
        <v>1</v>
      </c>
      <c r="M44" s="121">
        <v>1</v>
      </c>
      <c r="N44" s="120">
        <v>1.5</v>
      </c>
      <c r="O44" s="49">
        <v>1</v>
      </c>
      <c r="P44" s="121">
        <v>1</v>
      </c>
      <c r="Q44">
        <v>30</v>
      </c>
      <c r="R44" t="s">
        <v>78</v>
      </c>
    </row>
    <row r="45" spans="1:18" x14ac:dyDescent="0.2">
      <c r="A45" t="str">
        <f t="shared" si="0"/>
        <v>NBI12_U_40</v>
      </c>
      <c r="B45" s="120">
        <v>1.1000000000000001</v>
      </c>
      <c r="C45" s="47">
        <v>1</v>
      </c>
      <c r="D45" s="121">
        <v>1</v>
      </c>
      <c r="E45" s="120">
        <v>3.25</v>
      </c>
      <c r="F45" s="49">
        <v>1</v>
      </c>
      <c r="G45" s="121">
        <v>1</v>
      </c>
      <c r="H45" s="120">
        <v>1.25</v>
      </c>
      <c r="I45" s="49">
        <v>1</v>
      </c>
      <c r="J45" s="121">
        <v>1</v>
      </c>
      <c r="K45" s="120">
        <v>1.175</v>
      </c>
      <c r="L45" s="49">
        <v>1</v>
      </c>
      <c r="M45" s="121">
        <v>1</v>
      </c>
      <c r="N45" s="120">
        <v>1.25</v>
      </c>
      <c r="O45" s="49">
        <v>1</v>
      </c>
      <c r="P45" s="121">
        <v>1</v>
      </c>
      <c r="Q45">
        <v>40</v>
      </c>
      <c r="R45" t="s">
        <v>78</v>
      </c>
    </row>
    <row r="46" spans="1:18" x14ac:dyDescent="0.2">
      <c r="A46" t="str">
        <f t="shared" si="0"/>
        <v>NBI12_U_50</v>
      </c>
      <c r="B46" s="120">
        <v>1</v>
      </c>
      <c r="C46" s="47">
        <v>1</v>
      </c>
      <c r="D46" s="121">
        <v>1</v>
      </c>
      <c r="E46" s="120">
        <v>1</v>
      </c>
      <c r="F46" s="49">
        <v>1</v>
      </c>
      <c r="G46" s="121">
        <v>1</v>
      </c>
      <c r="H46" s="120">
        <v>1</v>
      </c>
      <c r="I46" s="49">
        <v>1</v>
      </c>
      <c r="J46" s="121">
        <v>1</v>
      </c>
      <c r="K46" s="120">
        <v>1</v>
      </c>
      <c r="L46" s="49">
        <v>1</v>
      </c>
      <c r="M46" s="121">
        <v>1</v>
      </c>
      <c r="N46" s="120">
        <v>1</v>
      </c>
      <c r="O46" s="49">
        <v>1</v>
      </c>
      <c r="P46" s="121">
        <v>1</v>
      </c>
      <c r="Q46">
        <v>50</v>
      </c>
      <c r="R46" t="s">
        <v>78</v>
      </c>
    </row>
    <row r="47" spans="1:18" x14ac:dyDescent="0.2">
      <c r="A47" t="str">
        <f t="shared" si="0"/>
        <v>NBI12_U_60</v>
      </c>
      <c r="B47" s="120">
        <v>0.9</v>
      </c>
      <c r="C47" s="47">
        <v>1</v>
      </c>
      <c r="D47" s="121">
        <v>1</v>
      </c>
      <c r="E47" s="120">
        <v>0.94</v>
      </c>
      <c r="F47" s="47">
        <v>1</v>
      </c>
      <c r="G47" s="121">
        <v>1</v>
      </c>
      <c r="H47" s="120">
        <v>0.94</v>
      </c>
      <c r="I47" s="47">
        <v>1</v>
      </c>
      <c r="J47" s="121">
        <v>1</v>
      </c>
      <c r="K47" s="120">
        <v>0.94</v>
      </c>
      <c r="L47" s="47">
        <v>1</v>
      </c>
      <c r="M47" s="121">
        <v>1</v>
      </c>
      <c r="N47" s="120">
        <v>0.94</v>
      </c>
      <c r="O47" s="47">
        <v>1</v>
      </c>
      <c r="P47" s="121">
        <v>1</v>
      </c>
      <c r="Q47">
        <v>60</v>
      </c>
      <c r="R47" t="s">
        <v>78</v>
      </c>
    </row>
    <row r="48" spans="1:18" x14ac:dyDescent="0.2">
      <c r="A48" t="str">
        <f t="shared" si="0"/>
        <v>NBI12_U_70</v>
      </c>
      <c r="B48" s="120">
        <v>0.8</v>
      </c>
      <c r="C48" s="47">
        <v>1</v>
      </c>
      <c r="D48" s="121">
        <v>1</v>
      </c>
      <c r="E48" s="120">
        <v>0.88</v>
      </c>
      <c r="F48" s="49">
        <v>1</v>
      </c>
      <c r="G48" s="121">
        <v>1</v>
      </c>
      <c r="H48" s="120">
        <v>0.88</v>
      </c>
      <c r="I48" s="49">
        <v>1</v>
      </c>
      <c r="J48" s="121">
        <v>1</v>
      </c>
      <c r="K48" s="120">
        <v>0.88</v>
      </c>
      <c r="L48" s="49">
        <v>1</v>
      </c>
      <c r="M48" s="121">
        <v>1</v>
      </c>
      <c r="N48" s="120">
        <v>0.88</v>
      </c>
      <c r="O48" s="49">
        <v>1</v>
      </c>
      <c r="P48" s="121">
        <v>1</v>
      </c>
      <c r="Q48">
        <v>70</v>
      </c>
      <c r="R48" t="s">
        <v>78</v>
      </c>
    </row>
    <row r="49" spans="1:18" x14ac:dyDescent="0.2">
      <c r="A49" t="str">
        <f t="shared" si="0"/>
        <v>NBI12_U_75</v>
      </c>
      <c r="B49" s="120">
        <v>0.75</v>
      </c>
      <c r="C49" s="47">
        <v>1</v>
      </c>
      <c r="D49" s="121">
        <v>1</v>
      </c>
      <c r="E49" s="120">
        <v>0.85</v>
      </c>
      <c r="F49" s="49">
        <v>1</v>
      </c>
      <c r="G49" s="121">
        <v>1</v>
      </c>
      <c r="H49" s="120">
        <v>0.85</v>
      </c>
      <c r="I49" s="49">
        <v>1</v>
      </c>
      <c r="J49" s="121">
        <v>1</v>
      </c>
      <c r="K49" s="120">
        <v>0.85</v>
      </c>
      <c r="L49" s="49">
        <v>1</v>
      </c>
      <c r="M49" s="121">
        <v>1</v>
      </c>
      <c r="N49" s="120">
        <v>0.85</v>
      </c>
      <c r="O49" s="49">
        <v>1</v>
      </c>
      <c r="P49" s="121">
        <v>1</v>
      </c>
      <c r="Q49">
        <v>75</v>
      </c>
      <c r="R49" t="s">
        <v>78</v>
      </c>
    </row>
    <row r="50" spans="1:18" x14ac:dyDescent="0.2">
      <c r="A50" t="str">
        <f t="shared" si="0"/>
        <v>NBI12_U_80</v>
      </c>
      <c r="B50" s="120">
        <v>0.7</v>
      </c>
      <c r="C50" s="47">
        <v>1</v>
      </c>
      <c r="D50" s="121">
        <v>1</v>
      </c>
      <c r="E50" s="120">
        <v>0.82</v>
      </c>
      <c r="F50" s="49">
        <v>1</v>
      </c>
      <c r="G50" s="121">
        <v>1</v>
      </c>
      <c r="H50" s="120">
        <v>0.82</v>
      </c>
      <c r="I50" s="49">
        <v>1</v>
      </c>
      <c r="J50" s="121">
        <v>1</v>
      </c>
      <c r="K50" s="120">
        <v>0.82</v>
      </c>
      <c r="L50" s="49">
        <v>1</v>
      </c>
      <c r="M50" s="121">
        <v>1</v>
      </c>
      <c r="N50" s="120">
        <v>0.82</v>
      </c>
      <c r="O50" s="49">
        <v>1</v>
      </c>
      <c r="P50" s="121">
        <v>1</v>
      </c>
      <c r="Q50">
        <v>80</v>
      </c>
      <c r="R50" t="s">
        <v>78</v>
      </c>
    </row>
    <row r="51" spans="1:18" x14ac:dyDescent="0.2">
      <c r="A51" t="str">
        <f t="shared" si="0"/>
        <v>NBI12_U_90</v>
      </c>
      <c r="B51" s="120">
        <v>0.6</v>
      </c>
      <c r="C51" s="47">
        <v>1</v>
      </c>
      <c r="D51" s="121">
        <v>1</v>
      </c>
      <c r="E51" s="120">
        <v>0.76</v>
      </c>
      <c r="F51" s="49">
        <v>1</v>
      </c>
      <c r="G51" s="121">
        <v>1</v>
      </c>
      <c r="H51" s="120">
        <v>0.76</v>
      </c>
      <c r="I51" s="49">
        <v>1</v>
      </c>
      <c r="J51" s="121">
        <v>1</v>
      </c>
      <c r="K51" s="120">
        <v>0.76</v>
      </c>
      <c r="L51" s="49">
        <v>1</v>
      </c>
      <c r="M51" s="121">
        <v>1</v>
      </c>
      <c r="N51" s="120">
        <v>0.76</v>
      </c>
      <c r="O51" s="49">
        <v>1</v>
      </c>
      <c r="P51" s="121">
        <v>1</v>
      </c>
      <c r="Q51">
        <v>90</v>
      </c>
      <c r="R51" t="s">
        <v>78</v>
      </c>
    </row>
    <row r="52" spans="1:18" x14ac:dyDescent="0.2">
      <c r="A52" t="str">
        <f t="shared" si="0"/>
        <v>NBI12_U_100</v>
      </c>
      <c r="B52" s="120">
        <v>0.5</v>
      </c>
      <c r="C52" s="49">
        <v>1</v>
      </c>
      <c r="D52" s="121">
        <v>1</v>
      </c>
      <c r="E52" s="120">
        <v>0.7</v>
      </c>
      <c r="F52" s="49">
        <v>1</v>
      </c>
      <c r="G52" s="121">
        <v>1</v>
      </c>
      <c r="H52" s="120">
        <v>0.7</v>
      </c>
      <c r="I52" s="49">
        <v>1</v>
      </c>
      <c r="J52" s="121">
        <v>1</v>
      </c>
      <c r="K52" s="120">
        <v>0.7</v>
      </c>
      <c r="L52" s="49">
        <v>1</v>
      </c>
      <c r="M52" s="121">
        <v>1</v>
      </c>
      <c r="N52" s="120">
        <v>0.7</v>
      </c>
      <c r="O52" s="49">
        <v>1</v>
      </c>
      <c r="P52" s="121">
        <v>1</v>
      </c>
      <c r="Q52">
        <v>100</v>
      </c>
      <c r="R52" t="s">
        <v>78</v>
      </c>
    </row>
    <row r="53" spans="1:18" x14ac:dyDescent="0.2">
      <c r="A53" t="str">
        <f t="shared" si="0"/>
        <v/>
      </c>
    </row>
    <row r="54" spans="1:18" x14ac:dyDescent="0.2">
      <c r="A54" t="str">
        <f t="shared" si="0"/>
        <v>NBI12_Kita_10</v>
      </c>
      <c r="B54" s="120">
        <v>1.4</v>
      </c>
      <c r="C54" s="47">
        <v>1</v>
      </c>
      <c r="D54" s="121">
        <v>1</v>
      </c>
      <c r="E54" s="120">
        <v>10</v>
      </c>
      <c r="F54" s="49">
        <v>1</v>
      </c>
      <c r="G54" s="121">
        <v>1</v>
      </c>
      <c r="H54" s="120">
        <v>2</v>
      </c>
      <c r="I54" s="49">
        <v>1</v>
      </c>
      <c r="J54" s="121">
        <v>1</v>
      </c>
      <c r="K54" s="120">
        <v>1.7</v>
      </c>
      <c r="L54" s="49">
        <v>1</v>
      </c>
      <c r="M54" s="121">
        <v>1</v>
      </c>
      <c r="N54" s="120">
        <v>2</v>
      </c>
      <c r="O54" s="49">
        <v>1</v>
      </c>
      <c r="P54" s="121">
        <v>1</v>
      </c>
      <c r="Q54">
        <v>10</v>
      </c>
      <c r="R54" t="s">
        <v>80</v>
      </c>
    </row>
    <row r="55" spans="1:18" x14ac:dyDescent="0.2">
      <c r="A55" t="str">
        <f t="shared" si="0"/>
        <v>NBI12_Kita_20</v>
      </c>
      <c r="B55" s="120">
        <v>1.3</v>
      </c>
      <c r="C55" s="47">
        <v>1</v>
      </c>
      <c r="D55" s="121">
        <v>1</v>
      </c>
      <c r="E55" s="120">
        <v>7.75</v>
      </c>
      <c r="F55" s="49">
        <v>1</v>
      </c>
      <c r="G55" s="121">
        <v>1</v>
      </c>
      <c r="H55" s="120">
        <v>1.75</v>
      </c>
      <c r="I55" s="49">
        <v>1</v>
      </c>
      <c r="J55" s="121">
        <v>1</v>
      </c>
      <c r="K55" s="120">
        <v>1.5249999999999999</v>
      </c>
      <c r="L55" s="49">
        <v>1</v>
      </c>
      <c r="M55" s="121">
        <v>1</v>
      </c>
      <c r="N55" s="120">
        <v>1.75</v>
      </c>
      <c r="O55" s="49">
        <v>1</v>
      </c>
      <c r="P55" s="121">
        <v>1</v>
      </c>
      <c r="Q55">
        <v>20</v>
      </c>
      <c r="R55" t="s">
        <v>80</v>
      </c>
    </row>
    <row r="56" spans="1:18" x14ac:dyDescent="0.2">
      <c r="A56" t="str">
        <f t="shared" si="0"/>
        <v>NBI12_Kita_30</v>
      </c>
      <c r="B56" s="120">
        <v>1.2</v>
      </c>
      <c r="C56" s="47">
        <v>1</v>
      </c>
      <c r="D56" s="121">
        <v>1</v>
      </c>
      <c r="E56" s="120">
        <v>5.5</v>
      </c>
      <c r="F56" s="49">
        <v>1</v>
      </c>
      <c r="G56" s="121">
        <v>1</v>
      </c>
      <c r="H56" s="120">
        <v>1.5</v>
      </c>
      <c r="I56" s="49">
        <v>1</v>
      </c>
      <c r="J56" s="121">
        <v>1</v>
      </c>
      <c r="K56" s="120">
        <v>1.35</v>
      </c>
      <c r="L56" s="49">
        <v>1</v>
      </c>
      <c r="M56" s="121">
        <v>1</v>
      </c>
      <c r="N56" s="120">
        <v>1.5</v>
      </c>
      <c r="O56" s="49">
        <v>1</v>
      </c>
      <c r="P56" s="121">
        <v>1</v>
      </c>
      <c r="Q56">
        <v>30</v>
      </c>
      <c r="R56" t="s">
        <v>80</v>
      </c>
    </row>
    <row r="57" spans="1:18" x14ac:dyDescent="0.2">
      <c r="A57" t="str">
        <f t="shared" si="0"/>
        <v>NBI12_Kita_40</v>
      </c>
      <c r="B57" s="120">
        <v>1.1000000000000001</v>
      </c>
      <c r="C57" s="47">
        <v>1</v>
      </c>
      <c r="D57" s="121">
        <v>1</v>
      </c>
      <c r="E57" s="120">
        <v>3.25</v>
      </c>
      <c r="F57" s="49">
        <v>1</v>
      </c>
      <c r="G57" s="121">
        <v>1</v>
      </c>
      <c r="H57" s="120">
        <v>1.25</v>
      </c>
      <c r="I57" s="49">
        <v>1</v>
      </c>
      <c r="J57" s="121">
        <v>1</v>
      </c>
      <c r="K57" s="120">
        <v>1.175</v>
      </c>
      <c r="L57" s="49">
        <v>1</v>
      </c>
      <c r="M57" s="121">
        <v>1</v>
      </c>
      <c r="N57" s="120">
        <v>1.25</v>
      </c>
      <c r="O57" s="49">
        <v>1</v>
      </c>
      <c r="P57" s="121">
        <v>1</v>
      </c>
      <c r="Q57">
        <v>40</v>
      </c>
      <c r="R57" t="s">
        <v>80</v>
      </c>
    </row>
    <row r="58" spans="1:18" x14ac:dyDescent="0.2">
      <c r="A58" t="str">
        <f t="shared" si="0"/>
        <v>NBI12_Kita_50</v>
      </c>
      <c r="B58" s="120">
        <v>1</v>
      </c>
      <c r="C58" s="47">
        <v>1</v>
      </c>
      <c r="D58" s="121">
        <v>1</v>
      </c>
      <c r="E58" s="120">
        <v>1</v>
      </c>
      <c r="F58" s="49">
        <v>1</v>
      </c>
      <c r="G58" s="121">
        <v>1</v>
      </c>
      <c r="H58" s="120">
        <v>1</v>
      </c>
      <c r="I58" s="49">
        <v>1</v>
      </c>
      <c r="J58" s="121">
        <v>1</v>
      </c>
      <c r="K58" s="120">
        <v>1</v>
      </c>
      <c r="L58" s="49">
        <v>1</v>
      </c>
      <c r="M58" s="121">
        <v>1</v>
      </c>
      <c r="N58" s="120">
        <v>1</v>
      </c>
      <c r="O58" s="49">
        <v>1</v>
      </c>
      <c r="P58" s="121">
        <v>1</v>
      </c>
      <c r="Q58">
        <v>50</v>
      </c>
      <c r="R58" t="s">
        <v>80</v>
      </c>
    </row>
    <row r="59" spans="1:18" x14ac:dyDescent="0.2">
      <c r="A59" t="str">
        <f t="shared" si="0"/>
        <v>NBI12_Kita_60</v>
      </c>
      <c r="B59" s="120">
        <v>0.9</v>
      </c>
      <c r="C59" s="47">
        <v>1</v>
      </c>
      <c r="D59" s="121">
        <v>1</v>
      </c>
      <c r="E59" s="120">
        <v>0.94</v>
      </c>
      <c r="F59" s="47">
        <v>1</v>
      </c>
      <c r="G59" s="121">
        <v>1</v>
      </c>
      <c r="H59" s="120">
        <v>0.94</v>
      </c>
      <c r="I59" s="47">
        <v>1</v>
      </c>
      <c r="J59" s="121">
        <v>1</v>
      </c>
      <c r="K59" s="120">
        <v>0.94</v>
      </c>
      <c r="L59" s="47">
        <v>1</v>
      </c>
      <c r="M59" s="121">
        <v>1</v>
      </c>
      <c r="N59" s="120">
        <v>0.94</v>
      </c>
      <c r="O59" s="47">
        <v>1</v>
      </c>
      <c r="P59" s="121">
        <v>1</v>
      </c>
      <c r="Q59">
        <v>60</v>
      </c>
      <c r="R59" t="s">
        <v>80</v>
      </c>
    </row>
    <row r="60" spans="1:18" x14ac:dyDescent="0.2">
      <c r="A60" t="str">
        <f t="shared" si="0"/>
        <v>NBI12_Kita_70</v>
      </c>
      <c r="B60" s="120">
        <v>0.8</v>
      </c>
      <c r="C60" s="47">
        <v>1</v>
      </c>
      <c r="D60" s="121">
        <v>1</v>
      </c>
      <c r="E60" s="120">
        <v>0.88</v>
      </c>
      <c r="F60" s="49">
        <v>1</v>
      </c>
      <c r="G60" s="121">
        <v>1</v>
      </c>
      <c r="H60" s="120">
        <v>0.88</v>
      </c>
      <c r="I60" s="49">
        <v>1</v>
      </c>
      <c r="J60" s="121">
        <v>1</v>
      </c>
      <c r="K60" s="120">
        <v>0.88</v>
      </c>
      <c r="L60" s="49">
        <v>1</v>
      </c>
      <c r="M60" s="121">
        <v>1</v>
      </c>
      <c r="N60" s="120">
        <v>0.88</v>
      </c>
      <c r="O60" s="49">
        <v>1</v>
      </c>
      <c r="P60" s="121">
        <v>1</v>
      </c>
      <c r="Q60">
        <v>70</v>
      </c>
      <c r="R60" t="s">
        <v>80</v>
      </c>
    </row>
    <row r="61" spans="1:18" x14ac:dyDescent="0.2">
      <c r="A61" t="str">
        <f t="shared" si="0"/>
        <v>NBI12_Kita_75</v>
      </c>
      <c r="B61" s="120">
        <v>0.75</v>
      </c>
      <c r="C61" s="47">
        <v>1</v>
      </c>
      <c r="D61" s="121">
        <v>1</v>
      </c>
      <c r="E61" s="120">
        <v>0.85</v>
      </c>
      <c r="F61" s="49">
        <v>1</v>
      </c>
      <c r="G61" s="121">
        <v>1</v>
      </c>
      <c r="H61" s="120">
        <v>0.85</v>
      </c>
      <c r="I61" s="49">
        <v>1</v>
      </c>
      <c r="J61" s="121">
        <v>1</v>
      </c>
      <c r="K61" s="120">
        <v>0.85</v>
      </c>
      <c r="L61" s="49">
        <v>1</v>
      </c>
      <c r="M61" s="121">
        <v>1</v>
      </c>
      <c r="N61" s="120">
        <v>0.85</v>
      </c>
      <c r="O61" s="49">
        <v>1</v>
      </c>
      <c r="P61" s="121">
        <v>1</v>
      </c>
      <c r="Q61">
        <v>75</v>
      </c>
      <c r="R61" t="s">
        <v>80</v>
      </c>
    </row>
    <row r="62" spans="1:18" x14ac:dyDescent="0.2">
      <c r="A62" t="str">
        <f t="shared" si="0"/>
        <v>NBI12_Kita_80</v>
      </c>
      <c r="B62" s="120">
        <v>0.7</v>
      </c>
      <c r="C62" s="47">
        <v>1</v>
      </c>
      <c r="D62" s="121">
        <v>1</v>
      </c>
      <c r="E62" s="120">
        <v>0.82</v>
      </c>
      <c r="F62" s="49">
        <v>1</v>
      </c>
      <c r="G62" s="121">
        <v>1</v>
      </c>
      <c r="H62" s="120">
        <v>0.82</v>
      </c>
      <c r="I62" s="49">
        <v>1</v>
      </c>
      <c r="J62" s="121">
        <v>1</v>
      </c>
      <c r="K62" s="120">
        <v>0.82</v>
      </c>
      <c r="L62" s="49">
        <v>1</v>
      </c>
      <c r="M62" s="121">
        <v>1</v>
      </c>
      <c r="N62" s="120">
        <v>0.82</v>
      </c>
      <c r="O62" s="49">
        <v>1</v>
      </c>
      <c r="P62" s="121">
        <v>1</v>
      </c>
      <c r="Q62">
        <v>80</v>
      </c>
      <c r="R62" t="s">
        <v>80</v>
      </c>
    </row>
    <row r="63" spans="1:18" x14ac:dyDescent="0.2">
      <c r="A63" t="str">
        <f t="shared" si="0"/>
        <v>NBI12_Kita_90</v>
      </c>
      <c r="B63" s="120">
        <v>0.6</v>
      </c>
      <c r="C63" s="47">
        <v>1</v>
      </c>
      <c r="D63" s="121">
        <v>1</v>
      </c>
      <c r="E63" s="120">
        <v>0.76</v>
      </c>
      <c r="F63" s="49">
        <v>1</v>
      </c>
      <c r="G63" s="121">
        <v>1</v>
      </c>
      <c r="H63" s="120">
        <v>0.76</v>
      </c>
      <c r="I63" s="49">
        <v>1</v>
      </c>
      <c r="J63" s="121">
        <v>1</v>
      </c>
      <c r="K63" s="120">
        <v>0.76</v>
      </c>
      <c r="L63" s="49">
        <v>1</v>
      </c>
      <c r="M63" s="121">
        <v>1</v>
      </c>
      <c r="N63" s="120">
        <v>0.76</v>
      </c>
      <c r="O63" s="49">
        <v>1</v>
      </c>
      <c r="P63" s="121">
        <v>1</v>
      </c>
      <c r="Q63">
        <v>90</v>
      </c>
      <c r="R63" t="s">
        <v>80</v>
      </c>
    </row>
    <row r="64" spans="1:18" x14ac:dyDescent="0.2">
      <c r="A64" t="str">
        <f t="shared" si="0"/>
        <v>NBI12_Kita_100</v>
      </c>
      <c r="B64" s="120">
        <v>0.5</v>
      </c>
      <c r="C64" s="49">
        <v>1</v>
      </c>
      <c r="D64" s="121">
        <v>1</v>
      </c>
      <c r="E64" s="120">
        <v>0.7</v>
      </c>
      <c r="F64" s="49">
        <v>1</v>
      </c>
      <c r="G64" s="121">
        <v>1</v>
      </c>
      <c r="H64" s="120">
        <v>0.7</v>
      </c>
      <c r="I64" s="49">
        <v>1</v>
      </c>
      <c r="J64" s="121">
        <v>1</v>
      </c>
      <c r="K64" s="120">
        <v>0.7</v>
      </c>
      <c r="L64" s="49">
        <v>1</v>
      </c>
      <c r="M64" s="121">
        <v>1</v>
      </c>
      <c r="N64" s="120">
        <v>0.7</v>
      </c>
      <c r="O64" s="49">
        <v>1</v>
      </c>
      <c r="P64" s="121">
        <v>1</v>
      </c>
      <c r="Q64">
        <v>100</v>
      </c>
      <c r="R64" t="s">
        <v>80</v>
      </c>
    </row>
    <row r="65" spans="1:18" x14ac:dyDescent="0.2">
      <c r="A65" t="str">
        <f t="shared" si="0"/>
        <v/>
      </c>
    </row>
    <row r="66" spans="1:18" x14ac:dyDescent="0.2">
      <c r="A66" s="234" t="str">
        <f t="shared" si="0"/>
        <v>NWO15_10</v>
      </c>
      <c r="B66" s="120">
        <v>1.4</v>
      </c>
      <c r="C66" s="47">
        <v>1</v>
      </c>
      <c r="D66" s="121">
        <v>1</v>
      </c>
      <c r="E66" s="120">
        <v>10</v>
      </c>
      <c r="F66" s="49">
        <v>1</v>
      </c>
      <c r="G66" s="121">
        <v>1</v>
      </c>
      <c r="H66" s="120">
        <v>2</v>
      </c>
      <c r="I66" s="49">
        <v>1</v>
      </c>
      <c r="J66" s="121">
        <v>1</v>
      </c>
      <c r="K66" s="120">
        <v>1.7</v>
      </c>
      <c r="L66" s="49">
        <v>1</v>
      </c>
      <c r="M66" s="121">
        <v>1</v>
      </c>
      <c r="N66" s="120">
        <v>2</v>
      </c>
      <c r="O66" s="49">
        <v>1</v>
      </c>
      <c r="P66" s="121">
        <v>1</v>
      </c>
      <c r="Q66">
        <v>10</v>
      </c>
      <c r="R66" t="s">
        <v>82</v>
      </c>
    </row>
    <row r="67" spans="1:18" x14ac:dyDescent="0.2">
      <c r="A67" s="234" t="str">
        <f t="shared" ref="A67:A130" si="1">IF(R67="","",CONCATENATE(R67,"_",Q67))</f>
        <v>NWO15_20</v>
      </c>
      <c r="B67" s="120">
        <v>1.3</v>
      </c>
      <c r="C67" s="47">
        <v>1</v>
      </c>
      <c r="D67" s="121">
        <v>1</v>
      </c>
      <c r="E67" s="120">
        <v>7.75</v>
      </c>
      <c r="F67" s="49">
        <v>1</v>
      </c>
      <c r="G67" s="121">
        <v>1</v>
      </c>
      <c r="H67" s="120">
        <v>1.75</v>
      </c>
      <c r="I67" s="49">
        <v>1</v>
      </c>
      <c r="J67" s="121">
        <v>1</v>
      </c>
      <c r="K67" s="120">
        <v>1.5249999999999999</v>
      </c>
      <c r="L67" s="49">
        <v>1</v>
      </c>
      <c r="M67" s="121">
        <v>1</v>
      </c>
      <c r="N67" s="120">
        <v>1.75</v>
      </c>
      <c r="O67" s="49">
        <v>1</v>
      </c>
      <c r="P67" s="121">
        <v>1</v>
      </c>
      <c r="Q67">
        <v>20</v>
      </c>
      <c r="R67" t="s">
        <v>82</v>
      </c>
    </row>
    <row r="68" spans="1:18" x14ac:dyDescent="0.2">
      <c r="A68" s="234" t="str">
        <f t="shared" si="1"/>
        <v>NWO15_30</v>
      </c>
      <c r="B68" s="120">
        <v>1.2</v>
      </c>
      <c r="C68" s="47">
        <v>1</v>
      </c>
      <c r="D68" s="121">
        <v>1</v>
      </c>
      <c r="E68" s="120">
        <v>5.5</v>
      </c>
      <c r="F68" s="49">
        <v>1</v>
      </c>
      <c r="G68" s="121">
        <v>1</v>
      </c>
      <c r="H68" s="120">
        <v>1.5</v>
      </c>
      <c r="I68" s="49">
        <v>1</v>
      </c>
      <c r="J68" s="121">
        <v>1</v>
      </c>
      <c r="K68" s="120">
        <v>1.35</v>
      </c>
      <c r="L68" s="49">
        <v>1</v>
      </c>
      <c r="M68" s="121">
        <v>1</v>
      </c>
      <c r="N68" s="120">
        <v>1.5</v>
      </c>
      <c r="O68" s="49">
        <v>1</v>
      </c>
      <c r="P68" s="121">
        <v>1</v>
      </c>
      <c r="Q68">
        <v>30</v>
      </c>
      <c r="R68" t="s">
        <v>82</v>
      </c>
    </row>
    <row r="69" spans="1:18" x14ac:dyDescent="0.2">
      <c r="A69" s="234" t="str">
        <f t="shared" si="1"/>
        <v>NWO15_40</v>
      </c>
      <c r="B69" s="120">
        <v>1.1000000000000001</v>
      </c>
      <c r="C69" s="47">
        <v>1</v>
      </c>
      <c r="D69" s="121">
        <v>1</v>
      </c>
      <c r="E69" s="120">
        <v>3.25</v>
      </c>
      <c r="F69" s="49">
        <v>1</v>
      </c>
      <c r="G69" s="121">
        <v>1</v>
      </c>
      <c r="H69" s="120">
        <v>1.25</v>
      </c>
      <c r="I69" s="49">
        <v>1</v>
      </c>
      <c r="J69" s="121">
        <v>1</v>
      </c>
      <c r="K69" s="120">
        <v>1.175</v>
      </c>
      <c r="L69" s="49">
        <v>1</v>
      </c>
      <c r="M69" s="121">
        <v>1</v>
      </c>
      <c r="N69" s="120">
        <v>1.25</v>
      </c>
      <c r="O69" s="49">
        <v>1</v>
      </c>
      <c r="P69" s="121">
        <v>1</v>
      </c>
      <c r="Q69">
        <v>40</v>
      </c>
      <c r="R69" t="s">
        <v>82</v>
      </c>
    </row>
    <row r="70" spans="1:18" x14ac:dyDescent="0.2">
      <c r="A70" s="234" t="str">
        <f t="shared" si="1"/>
        <v>NWO15_50</v>
      </c>
      <c r="B70" s="120">
        <v>1</v>
      </c>
      <c r="C70" s="47">
        <v>1</v>
      </c>
      <c r="D70" s="121">
        <v>1</v>
      </c>
      <c r="E70" s="120">
        <v>1</v>
      </c>
      <c r="F70" s="49">
        <v>1</v>
      </c>
      <c r="G70" s="121">
        <v>1</v>
      </c>
      <c r="H70" s="120">
        <v>1</v>
      </c>
      <c r="I70" s="49">
        <v>1</v>
      </c>
      <c r="J70" s="121">
        <v>1</v>
      </c>
      <c r="K70" s="120">
        <v>1</v>
      </c>
      <c r="L70" s="49">
        <v>1</v>
      </c>
      <c r="M70" s="121">
        <v>1</v>
      </c>
      <c r="N70" s="120">
        <v>1</v>
      </c>
      <c r="O70" s="49">
        <v>1</v>
      </c>
      <c r="P70" s="121">
        <v>1</v>
      </c>
      <c r="Q70">
        <v>50</v>
      </c>
      <c r="R70" t="s">
        <v>82</v>
      </c>
    </row>
    <row r="71" spans="1:18" x14ac:dyDescent="0.2">
      <c r="A71" s="234" t="str">
        <f t="shared" si="1"/>
        <v>NWO15_60</v>
      </c>
      <c r="B71" s="120">
        <v>0.94</v>
      </c>
      <c r="C71" s="47">
        <v>1</v>
      </c>
      <c r="D71" s="121">
        <v>1</v>
      </c>
      <c r="E71" s="120">
        <v>0.94</v>
      </c>
      <c r="F71" s="49">
        <v>1</v>
      </c>
      <c r="G71" s="121">
        <v>1</v>
      </c>
      <c r="H71" s="120">
        <v>0.94</v>
      </c>
      <c r="I71" s="49">
        <v>1</v>
      </c>
      <c r="J71" s="121">
        <v>1</v>
      </c>
      <c r="K71" s="120">
        <v>0.94</v>
      </c>
      <c r="L71" s="49">
        <v>1</v>
      </c>
      <c r="M71" s="121">
        <v>1</v>
      </c>
      <c r="N71" s="120">
        <v>0.94</v>
      </c>
      <c r="O71" s="49">
        <v>1</v>
      </c>
      <c r="P71" s="121">
        <v>1</v>
      </c>
      <c r="Q71">
        <v>60</v>
      </c>
      <c r="R71" t="s">
        <v>82</v>
      </c>
    </row>
    <row r="72" spans="1:18" x14ac:dyDescent="0.2">
      <c r="A72" s="234" t="str">
        <f t="shared" si="1"/>
        <v>NWO15_70</v>
      </c>
      <c r="B72" s="120">
        <v>0.88</v>
      </c>
      <c r="C72" s="47">
        <v>1</v>
      </c>
      <c r="D72" s="121">
        <v>1</v>
      </c>
      <c r="E72" s="120">
        <v>0.88</v>
      </c>
      <c r="F72" s="49">
        <v>1</v>
      </c>
      <c r="G72" s="121">
        <v>1</v>
      </c>
      <c r="H72" s="120">
        <v>0.88</v>
      </c>
      <c r="I72" s="49">
        <v>1</v>
      </c>
      <c r="J72" s="121">
        <v>1</v>
      </c>
      <c r="K72" s="120">
        <v>0.88</v>
      </c>
      <c r="L72" s="49">
        <v>1</v>
      </c>
      <c r="M72" s="121">
        <v>1</v>
      </c>
      <c r="N72" s="120">
        <v>0.88</v>
      </c>
      <c r="O72" s="49">
        <v>1</v>
      </c>
      <c r="P72" s="121">
        <v>1</v>
      </c>
      <c r="Q72">
        <v>70</v>
      </c>
      <c r="R72" t="s">
        <v>82</v>
      </c>
    </row>
    <row r="73" spans="1:18" x14ac:dyDescent="0.2">
      <c r="A73" s="234" t="str">
        <f t="shared" si="1"/>
        <v>NWO15_75</v>
      </c>
      <c r="B73" s="120">
        <v>0.85</v>
      </c>
      <c r="C73" s="47">
        <v>1</v>
      </c>
      <c r="D73" s="121">
        <v>1</v>
      </c>
      <c r="E73" s="120">
        <v>0.85</v>
      </c>
      <c r="F73" s="49">
        <v>1</v>
      </c>
      <c r="G73" s="121">
        <v>1</v>
      </c>
      <c r="H73" s="120">
        <v>0.85</v>
      </c>
      <c r="I73" s="49">
        <v>1</v>
      </c>
      <c r="J73" s="121">
        <v>1</v>
      </c>
      <c r="K73" s="120">
        <v>0.85</v>
      </c>
      <c r="L73" s="49">
        <v>1</v>
      </c>
      <c r="M73" s="121">
        <v>1</v>
      </c>
      <c r="N73" s="120">
        <v>0.85</v>
      </c>
      <c r="O73" s="49">
        <v>1</v>
      </c>
      <c r="P73" s="121">
        <v>1</v>
      </c>
      <c r="Q73">
        <v>75</v>
      </c>
      <c r="R73" t="s">
        <v>82</v>
      </c>
    </row>
    <row r="74" spans="1:18" x14ac:dyDescent="0.2">
      <c r="A74" s="234" t="str">
        <f t="shared" si="1"/>
        <v>NWO15_80</v>
      </c>
      <c r="B74" s="120">
        <v>0.82</v>
      </c>
      <c r="C74" s="47">
        <v>1</v>
      </c>
      <c r="D74" s="121">
        <v>1</v>
      </c>
      <c r="E74" s="120">
        <v>0.82</v>
      </c>
      <c r="F74" s="49">
        <v>1</v>
      </c>
      <c r="G74" s="121">
        <v>1</v>
      </c>
      <c r="H74" s="120">
        <v>0.82</v>
      </c>
      <c r="I74" s="49">
        <v>1</v>
      </c>
      <c r="J74" s="121">
        <v>1</v>
      </c>
      <c r="K74" s="120">
        <v>0.82</v>
      </c>
      <c r="L74" s="49">
        <v>1</v>
      </c>
      <c r="M74" s="121">
        <v>1</v>
      </c>
      <c r="N74" s="120">
        <v>0.82</v>
      </c>
      <c r="O74" s="49">
        <v>1</v>
      </c>
      <c r="P74" s="121">
        <v>1</v>
      </c>
      <c r="Q74">
        <v>80</v>
      </c>
      <c r="R74" t="s">
        <v>82</v>
      </c>
    </row>
    <row r="75" spans="1:18" x14ac:dyDescent="0.2">
      <c r="A75" s="234" t="str">
        <f t="shared" si="1"/>
        <v>NWO15_90</v>
      </c>
      <c r="B75" s="120">
        <v>0.76</v>
      </c>
      <c r="C75" s="47">
        <v>1</v>
      </c>
      <c r="D75" s="121">
        <v>1</v>
      </c>
      <c r="E75" s="120">
        <v>0.76</v>
      </c>
      <c r="F75" s="49">
        <v>1</v>
      </c>
      <c r="G75" s="121">
        <v>1</v>
      </c>
      <c r="H75" s="120">
        <v>0.76</v>
      </c>
      <c r="I75" s="49">
        <v>1</v>
      </c>
      <c r="J75" s="121">
        <v>1</v>
      </c>
      <c r="K75" s="120">
        <v>0.76</v>
      </c>
      <c r="L75" s="49">
        <v>1</v>
      </c>
      <c r="M75" s="121">
        <v>1</v>
      </c>
      <c r="N75" s="120">
        <v>0.76</v>
      </c>
      <c r="O75" s="49">
        <v>1</v>
      </c>
      <c r="P75" s="121">
        <v>1</v>
      </c>
      <c r="Q75">
        <v>90</v>
      </c>
      <c r="R75" t="s">
        <v>82</v>
      </c>
    </row>
    <row r="76" spans="1:18" x14ac:dyDescent="0.2">
      <c r="A76" s="234" t="str">
        <f t="shared" si="1"/>
        <v>NWO15_100</v>
      </c>
      <c r="B76" s="120">
        <v>0.7</v>
      </c>
      <c r="C76" s="47">
        <v>1</v>
      </c>
      <c r="D76" s="121">
        <v>1</v>
      </c>
      <c r="E76" s="120">
        <v>0.7</v>
      </c>
      <c r="F76" s="49">
        <v>1</v>
      </c>
      <c r="G76" s="121">
        <v>1</v>
      </c>
      <c r="H76" s="120">
        <v>0.7</v>
      </c>
      <c r="I76" s="49">
        <v>1</v>
      </c>
      <c r="J76" s="121">
        <v>1</v>
      </c>
      <c r="K76" s="120">
        <v>0.7</v>
      </c>
      <c r="L76" s="49">
        <v>1</v>
      </c>
      <c r="M76" s="121">
        <v>1</v>
      </c>
      <c r="N76" s="120">
        <v>0.7</v>
      </c>
      <c r="O76" s="49">
        <v>1</v>
      </c>
      <c r="P76" s="121">
        <v>1</v>
      </c>
      <c r="Q76">
        <v>100</v>
      </c>
      <c r="R76" t="s">
        <v>82</v>
      </c>
    </row>
    <row r="77" spans="1:18" x14ac:dyDescent="0.2">
      <c r="A77" s="234" t="str">
        <f t="shared" si="1"/>
        <v>NWO15_110</v>
      </c>
      <c r="B77" s="120">
        <v>0.7</v>
      </c>
      <c r="C77" s="49">
        <v>1</v>
      </c>
      <c r="D77" s="121">
        <v>0.875</v>
      </c>
      <c r="E77" s="120">
        <v>0.7</v>
      </c>
      <c r="F77" s="49">
        <v>1</v>
      </c>
      <c r="G77" s="121">
        <v>0.875</v>
      </c>
      <c r="H77" s="120">
        <v>0.7</v>
      </c>
      <c r="I77" s="49">
        <v>1</v>
      </c>
      <c r="J77" s="121">
        <v>0.875</v>
      </c>
      <c r="K77" s="120">
        <v>0.7</v>
      </c>
      <c r="L77" s="49">
        <v>1</v>
      </c>
      <c r="M77" s="121">
        <v>0.875</v>
      </c>
      <c r="N77" s="120">
        <v>0.7</v>
      </c>
      <c r="O77" s="49">
        <v>1</v>
      </c>
      <c r="P77" s="121">
        <v>0.75</v>
      </c>
      <c r="Q77" s="49">
        <v>110</v>
      </c>
      <c r="R77" t="s">
        <v>82</v>
      </c>
    </row>
    <row r="78" spans="1:18" x14ac:dyDescent="0.2">
      <c r="A78" s="234" t="str">
        <f t="shared" si="1"/>
        <v>NWO15_120</v>
      </c>
      <c r="B78" s="120">
        <v>0.7</v>
      </c>
      <c r="C78" s="49">
        <v>1</v>
      </c>
      <c r="D78" s="121">
        <v>0.75</v>
      </c>
      <c r="E78" s="120">
        <v>0.7</v>
      </c>
      <c r="F78" s="49">
        <v>1</v>
      </c>
      <c r="G78" s="121">
        <v>0.75</v>
      </c>
      <c r="H78" s="120">
        <v>0.7</v>
      </c>
      <c r="I78" s="49">
        <v>1</v>
      </c>
      <c r="J78" s="121">
        <v>0.75</v>
      </c>
      <c r="K78" s="120">
        <v>0.7</v>
      </c>
      <c r="L78" s="49">
        <v>1</v>
      </c>
      <c r="M78" s="121">
        <v>0.75</v>
      </c>
      <c r="N78" s="120">
        <v>0.7</v>
      </c>
      <c r="O78" s="49">
        <v>1</v>
      </c>
      <c r="P78" s="121">
        <v>0.5</v>
      </c>
      <c r="Q78" s="49">
        <v>120</v>
      </c>
      <c r="R78" t="s">
        <v>82</v>
      </c>
    </row>
    <row r="79" spans="1:18" x14ac:dyDescent="0.2">
      <c r="A79" t="str">
        <f t="shared" si="1"/>
        <v/>
      </c>
    </row>
    <row r="80" spans="1:18" x14ac:dyDescent="0.2">
      <c r="A80" t="str">
        <f t="shared" si="1"/>
        <v>NWO12_U_10</v>
      </c>
      <c r="B80" s="120">
        <v>1.4</v>
      </c>
      <c r="C80" s="47">
        <v>1</v>
      </c>
      <c r="D80" s="121">
        <v>1</v>
      </c>
      <c r="E80" s="120">
        <v>10</v>
      </c>
      <c r="F80" s="49">
        <v>1</v>
      </c>
      <c r="G80" s="121">
        <v>1</v>
      </c>
      <c r="H80" s="120">
        <v>2</v>
      </c>
      <c r="I80" s="49">
        <v>1</v>
      </c>
      <c r="J80" s="121">
        <v>1</v>
      </c>
      <c r="K80" s="120">
        <v>1.7</v>
      </c>
      <c r="L80" s="49">
        <v>1</v>
      </c>
      <c r="M80" s="121">
        <v>1</v>
      </c>
      <c r="N80" s="120">
        <v>2</v>
      </c>
      <c r="O80" s="49">
        <v>1</v>
      </c>
      <c r="P80" s="121">
        <v>1</v>
      </c>
      <c r="Q80">
        <v>10</v>
      </c>
      <c r="R80" t="s">
        <v>83</v>
      </c>
    </row>
    <row r="81" spans="1:18" x14ac:dyDescent="0.2">
      <c r="A81" t="str">
        <f t="shared" si="1"/>
        <v>NWO12_U_20</v>
      </c>
      <c r="B81" s="120">
        <v>1.3</v>
      </c>
      <c r="C81" s="47">
        <v>1</v>
      </c>
      <c r="D81" s="121">
        <v>1</v>
      </c>
      <c r="E81" s="120">
        <v>7.75</v>
      </c>
      <c r="F81" s="49">
        <v>1</v>
      </c>
      <c r="G81" s="121">
        <v>1</v>
      </c>
      <c r="H81" s="120">
        <v>1.75</v>
      </c>
      <c r="I81" s="49">
        <v>1</v>
      </c>
      <c r="J81" s="121">
        <v>1</v>
      </c>
      <c r="K81" s="120">
        <v>1.5249999999999999</v>
      </c>
      <c r="L81" s="49">
        <v>1</v>
      </c>
      <c r="M81" s="121">
        <v>1</v>
      </c>
      <c r="N81" s="120">
        <v>1.75</v>
      </c>
      <c r="O81" s="49">
        <v>1</v>
      </c>
      <c r="P81" s="121">
        <v>1</v>
      </c>
      <c r="Q81">
        <v>20</v>
      </c>
      <c r="R81" t="s">
        <v>83</v>
      </c>
    </row>
    <row r="82" spans="1:18" x14ac:dyDescent="0.2">
      <c r="A82" t="str">
        <f t="shared" si="1"/>
        <v>NWO12_U_30</v>
      </c>
      <c r="B82" s="120">
        <v>1.2</v>
      </c>
      <c r="C82" s="47">
        <v>1</v>
      </c>
      <c r="D82" s="121">
        <v>1</v>
      </c>
      <c r="E82" s="120">
        <v>5.5</v>
      </c>
      <c r="F82" s="49">
        <v>1</v>
      </c>
      <c r="G82" s="121">
        <v>1</v>
      </c>
      <c r="H82" s="120">
        <v>1.5</v>
      </c>
      <c r="I82" s="49">
        <v>1</v>
      </c>
      <c r="J82" s="121">
        <v>1</v>
      </c>
      <c r="K82" s="120">
        <v>1.35</v>
      </c>
      <c r="L82" s="49">
        <v>1</v>
      </c>
      <c r="M82" s="121">
        <v>1</v>
      </c>
      <c r="N82" s="120">
        <v>1.5</v>
      </c>
      <c r="O82" s="49">
        <v>1</v>
      </c>
      <c r="P82" s="121">
        <v>1</v>
      </c>
      <c r="Q82">
        <v>30</v>
      </c>
      <c r="R82" t="s">
        <v>83</v>
      </c>
    </row>
    <row r="83" spans="1:18" x14ac:dyDescent="0.2">
      <c r="A83" t="str">
        <f t="shared" si="1"/>
        <v>NWO12_U_40</v>
      </c>
      <c r="B83" s="120">
        <v>1.1000000000000001</v>
      </c>
      <c r="C83" s="47">
        <v>1</v>
      </c>
      <c r="D83" s="121">
        <v>1</v>
      </c>
      <c r="E83" s="120">
        <v>3.25</v>
      </c>
      <c r="F83" s="49">
        <v>1</v>
      </c>
      <c r="G83" s="121">
        <v>1</v>
      </c>
      <c r="H83" s="120">
        <v>1.25</v>
      </c>
      <c r="I83" s="49">
        <v>1</v>
      </c>
      <c r="J83" s="121">
        <v>1</v>
      </c>
      <c r="K83" s="120">
        <v>1.175</v>
      </c>
      <c r="L83" s="49">
        <v>1</v>
      </c>
      <c r="M83" s="121">
        <v>1</v>
      </c>
      <c r="N83" s="120">
        <v>1.25</v>
      </c>
      <c r="O83" s="49">
        <v>1</v>
      </c>
      <c r="P83" s="121">
        <v>1</v>
      </c>
      <c r="Q83">
        <v>40</v>
      </c>
      <c r="R83" t="s">
        <v>83</v>
      </c>
    </row>
    <row r="84" spans="1:18" x14ac:dyDescent="0.2">
      <c r="A84" t="str">
        <f t="shared" si="1"/>
        <v>NWO12_U_50</v>
      </c>
      <c r="B84" s="120">
        <v>1</v>
      </c>
      <c r="C84" s="47">
        <v>1</v>
      </c>
      <c r="D84" s="121">
        <v>1</v>
      </c>
      <c r="E84" s="120">
        <v>1</v>
      </c>
      <c r="F84" s="49">
        <v>1</v>
      </c>
      <c r="G84" s="121">
        <v>1</v>
      </c>
      <c r="H84" s="120">
        <v>1</v>
      </c>
      <c r="I84" s="49">
        <v>1</v>
      </c>
      <c r="J84" s="121">
        <v>1</v>
      </c>
      <c r="K84" s="120">
        <v>1</v>
      </c>
      <c r="L84" s="49">
        <v>1</v>
      </c>
      <c r="M84" s="121">
        <v>1</v>
      </c>
      <c r="N84" s="120">
        <v>1</v>
      </c>
      <c r="O84" s="49">
        <v>1</v>
      </c>
      <c r="P84" s="121">
        <v>1</v>
      </c>
      <c r="Q84">
        <v>50</v>
      </c>
      <c r="R84" t="s">
        <v>83</v>
      </c>
    </row>
    <row r="85" spans="1:18" x14ac:dyDescent="0.2">
      <c r="A85" t="str">
        <f t="shared" si="1"/>
        <v>NWO12_U_60</v>
      </c>
      <c r="B85" s="120">
        <v>0.94</v>
      </c>
      <c r="C85" s="47">
        <v>1</v>
      </c>
      <c r="D85" s="121">
        <v>1</v>
      </c>
      <c r="E85" s="120">
        <v>0.94</v>
      </c>
      <c r="F85" s="49">
        <v>1</v>
      </c>
      <c r="G85" s="121">
        <v>1</v>
      </c>
      <c r="H85" s="120">
        <v>0.94</v>
      </c>
      <c r="I85" s="49">
        <v>1</v>
      </c>
      <c r="J85" s="121">
        <v>1</v>
      </c>
      <c r="K85" s="120">
        <v>0.94</v>
      </c>
      <c r="L85" s="49">
        <v>1</v>
      </c>
      <c r="M85" s="121">
        <v>1</v>
      </c>
      <c r="N85" s="120">
        <v>0.94</v>
      </c>
      <c r="O85" s="49">
        <v>1</v>
      </c>
      <c r="P85" s="121">
        <v>1</v>
      </c>
      <c r="Q85">
        <v>60</v>
      </c>
      <c r="R85" t="s">
        <v>83</v>
      </c>
    </row>
    <row r="86" spans="1:18" x14ac:dyDescent="0.2">
      <c r="A86" t="str">
        <f t="shared" si="1"/>
        <v>NWO12_U_70</v>
      </c>
      <c r="B86" s="120">
        <v>0.88</v>
      </c>
      <c r="C86" s="47">
        <v>1</v>
      </c>
      <c r="D86" s="121">
        <v>1</v>
      </c>
      <c r="E86" s="120">
        <v>0.88</v>
      </c>
      <c r="F86" s="49">
        <v>1</v>
      </c>
      <c r="G86" s="121">
        <v>1</v>
      </c>
      <c r="H86" s="120">
        <v>0.88</v>
      </c>
      <c r="I86" s="49">
        <v>1</v>
      </c>
      <c r="J86" s="121">
        <v>1</v>
      </c>
      <c r="K86" s="120">
        <v>0.88</v>
      </c>
      <c r="L86" s="49">
        <v>1</v>
      </c>
      <c r="M86" s="121">
        <v>1</v>
      </c>
      <c r="N86" s="120">
        <v>0.88</v>
      </c>
      <c r="O86" s="49">
        <v>1</v>
      </c>
      <c r="P86" s="121">
        <v>1</v>
      </c>
      <c r="Q86">
        <v>70</v>
      </c>
      <c r="R86" t="s">
        <v>83</v>
      </c>
    </row>
    <row r="87" spans="1:18" x14ac:dyDescent="0.2">
      <c r="A87" t="str">
        <f t="shared" si="1"/>
        <v>NWO12_U_75</v>
      </c>
      <c r="B87" s="120">
        <v>0.85</v>
      </c>
      <c r="C87" s="47">
        <v>1</v>
      </c>
      <c r="D87" s="121">
        <v>1</v>
      </c>
      <c r="E87" s="120">
        <v>0.85</v>
      </c>
      <c r="F87" s="49">
        <v>1</v>
      </c>
      <c r="G87" s="121">
        <v>1</v>
      </c>
      <c r="H87" s="120">
        <v>0.85</v>
      </c>
      <c r="I87" s="49">
        <v>1</v>
      </c>
      <c r="J87" s="121">
        <v>1</v>
      </c>
      <c r="K87" s="120">
        <v>0.85</v>
      </c>
      <c r="L87" s="49">
        <v>1</v>
      </c>
      <c r="M87" s="121">
        <v>1</v>
      </c>
      <c r="N87" s="120">
        <v>0.85</v>
      </c>
      <c r="O87" s="49">
        <v>1</v>
      </c>
      <c r="P87" s="121">
        <v>1</v>
      </c>
      <c r="Q87">
        <v>75</v>
      </c>
      <c r="R87" t="s">
        <v>83</v>
      </c>
    </row>
    <row r="88" spans="1:18" x14ac:dyDescent="0.2">
      <c r="A88" t="str">
        <f t="shared" si="1"/>
        <v>NWO12_U_80</v>
      </c>
      <c r="B88" s="120">
        <v>0.82</v>
      </c>
      <c r="C88" s="47">
        <v>1</v>
      </c>
      <c r="D88" s="121">
        <v>1</v>
      </c>
      <c r="E88" s="120">
        <v>0.82</v>
      </c>
      <c r="F88" s="49">
        <v>1</v>
      </c>
      <c r="G88" s="121">
        <v>1</v>
      </c>
      <c r="H88" s="120">
        <v>0.82</v>
      </c>
      <c r="I88" s="49">
        <v>1</v>
      </c>
      <c r="J88" s="121">
        <v>1</v>
      </c>
      <c r="K88" s="120">
        <v>0.82</v>
      </c>
      <c r="L88" s="49">
        <v>1</v>
      </c>
      <c r="M88" s="121">
        <v>1</v>
      </c>
      <c r="N88" s="120">
        <v>0.82</v>
      </c>
      <c r="O88" s="49">
        <v>1</v>
      </c>
      <c r="P88" s="121">
        <v>1</v>
      </c>
      <c r="Q88">
        <v>80</v>
      </c>
      <c r="R88" t="s">
        <v>83</v>
      </c>
    </row>
    <row r="89" spans="1:18" x14ac:dyDescent="0.2">
      <c r="A89" t="str">
        <f t="shared" si="1"/>
        <v>NWO12_U_90</v>
      </c>
      <c r="B89" s="120">
        <v>0.76</v>
      </c>
      <c r="C89" s="47">
        <v>1</v>
      </c>
      <c r="D89" s="121">
        <v>1</v>
      </c>
      <c r="E89" s="120">
        <v>0.76</v>
      </c>
      <c r="F89" s="49">
        <v>1</v>
      </c>
      <c r="G89" s="121">
        <v>1</v>
      </c>
      <c r="H89" s="120">
        <v>0.76</v>
      </c>
      <c r="I89" s="49">
        <v>1</v>
      </c>
      <c r="J89" s="121">
        <v>1</v>
      </c>
      <c r="K89" s="120">
        <v>0.76</v>
      </c>
      <c r="L89" s="49">
        <v>1</v>
      </c>
      <c r="M89" s="121">
        <v>1</v>
      </c>
      <c r="N89" s="120">
        <v>0.76</v>
      </c>
      <c r="O89" s="49">
        <v>1</v>
      </c>
      <c r="P89" s="121">
        <v>1</v>
      </c>
      <c r="Q89">
        <v>90</v>
      </c>
      <c r="R89" t="s">
        <v>83</v>
      </c>
    </row>
    <row r="90" spans="1:18" x14ac:dyDescent="0.2">
      <c r="A90" t="str">
        <f t="shared" si="1"/>
        <v>NWO12_U_100</v>
      </c>
      <c r="B90" s="120">
        <v>0.7</v>
      </c>
      <c r="C90" s="47">
        <v>1</v>
      </c>
      <c r="D90" s="121">
        <v>1</v>
      </c>
      <c r="E90" s="120">
        <v>0.7</v>
      </c>
      <c r="F90" s="49">
        <v>1</v>
      </c>
      <c r="G90" s="121">
        <v>1</v>
      </c>
      <c r="H90" s="120">
        <v>0.7</v>
      </c>
      <c r="I90" s="49">
        <v>1</v>
      </c>
      <c r="J90" s="121">
        <v>1</v>
      </c>
      <c r="K90" s="120">
        <v>0.7</v>
      </c>
      <c r="L90" s="49">
        <v>1</v>
      </c>
      <c r="M90" s="121">
        <v>1</v>
      </c>
      <c r="N90" s="120">
        <v>0.7</v>
      </c>
      <c r="O90" s="49">
        <v>1</v>
      </c>
      <c r="P90" s="121">
        <v>1</v>
      </c>
      <c r="Q90">
        <v>100</v>
      </c>
      <c r="R90" t="s">
        <v>83</v>
      </c>
    </row>
    <row r="91" spans="1:18" x14ac:dyDescent="0.2">
      <c r="A91" t="str">
        <f t="shared" si="1"/>
        <v/>
      </c>
    </row>
    <row r="92" spans="1:18" x14ac:dyDescent="0.2">
      <c r="A92" s="234" t="str">
        <f t="shared" si="1"/>
        <v>NKW13_10</v>
      </c>
      <c r="B92" s="120">
        <v>1.4</v>
      </c>
      <c r="C92" s="47">
        <v>1</v>
      </c>
      <c r="D92" s="121">
        <v>1</v>
      </c>
      <c r="E92" s="120">
        <v>10</v>
      </c>
      <c r="F92" s="49">
        <v>1</v>
      </c>
      <c r="G92" s="121">
        <v>1</v>
      </c>
      <c r="H92" s="120">
        <v>2</v>
      </c>
      <c r="I92" s="49">
        <v>1</v>
      </c>
      <c r="J92" s="121">
        <v>1</v>
      </c>
      <c r="K92" s="120">
        <v>1.7</v>
      </c>
      <c r="L92" s="49">
        <v>1</v>
      </c>
      <c r="M92" s="121">
        <v>1</v>
      </c>
      <c r="N92" s="120">
        <v>2</v>
      </c>
      <c r="O92" s="49">
        <v>1</v>
      </c>
      <c r="P92" s="121">
        <v>1</v>
      </c>
      <c r="Q92">
        <v>10</v>
      </c>
      <c r="R92" t="s">
        <v>84</v>
      </c>
    </row>
    <row r="93" spans="1:18" x14ac:dyDescent="0.2">
      <c r="A93" s="234" t="str">
        <f t="shared" si="1"/>
        <v>NKW13_20</v>
      </c>
      <c r="B93" s="120">
        <v>1.3</v>
      </c>
      <c r="C93" s="47">
        <v>1</v>
      </c>
      <c r="D93" s="121">
        <v>1</v>
      </c>
      <c r="E93" s="120">
        <v>7.75</v>
      </c>
      <c r="F93" s="49">
        <v>1</v>
      </c>
      <c r="G93" s="121">
        <v>1</v>
      </c>
      <c r="H93" s="120">
        <v>1.75</v>
      </c>
      <c r="I93" s="49">
        <v>1</v>
      </c>
      <c r="J93" s="121">
        <v>1</v>
      </c>
      <c r="K93" s="120">
        <v>1.5249999999999999</v>
      </c>
      <c r="L93" s="49">
        <v>1</v>
      </c>
      <c r="M93" s="121">
        <v>1</v>
      </c>
      <c r="N93" s="120">
        <v>1.75</v>
      </c>
      <c r="O93" s="49">
        <v>1</v>
      </c>
      <c r="P93" s="121">
        <v>1</v>
      </c>
      <c r="Q93">
        <v>20</v>
      </c>
      <c r="R93" t="s">
        <v>84</v>
      </c>
    </row>
    <row r="94" spans="1:18" x14ac:dyDescent="0.2">
      <c r="A94" s="234" t="str">
        <f t="shared" si="1"/>
        <v>NKW13_30</v>
      </c>
      <c r="B94" s="120">
        <v>1.2</v>
      </c>
      <c r="C94" s="47">
        <v>1</v>
      </c>
      <c r="D94" s="121">
        <v>1</v>
      </c>
      <c r="E94" s="120">
        <v>5.5</v>
      </c>
      <c r="F94" s="49">
        <v>1</v>
      </c>
      <c r="G94" s="121">
        <v>1</v>
      </c>
      <c r="H94" s="120">
        <v>1.5</v>
      </c>
      <c r="I94" s="49">
        <v>1</v>
      </c>
      <c r="J94" s="121">
        <v>1</v>
      </c>
      <c r="K94" s="120">
        <v>1.35</v>
      </c>
      <c r="L94" s="49">
        <v>1</v>
      </c>
      <c r="M94" s="121">
        <v>1</v>
      </c>
      <c r="N94" s="120">
        <v>1.5</v>
      </c>
      <c r="O94" s="49">
        <v>1</v>
      </c>
      <c r="P94" s="121">
        <v>1</v>
      </c>
      <c r="Q94">
        <v>30</v>
      </c>
      <c r="R94" t="s">
        <v>84</v>
      </c>
    </row>
    <row r="95" spans="1:18" x14ac:dyDescent="0.2">
      <c r="A95" s="234" t="str">
        <f t="shared" si="1"/>
        <v>NKW13_40</v>
      </c>
      <c r="B95" s="120">
        <v>1.1000000000000001</v>
      </c>
      <c r="C95" s="47">
        <v>1</v>
      </c>
      <c r="D95" s="121">
        <v>1</v>
      </c>
      <c r="E95" s="120">
        <v>3.25</v>
      </c>
      <c r="F95" s="49">
        <v>1</v>
      </c>
      <c r="G95" s="121">
        <v>1</v>
      </c>
      <c r="H95" s="120">
        <v>1.25</v>
      </c>
      <c r="I95" s="49">
        <v>1</v>
      </c>
      <c r="J95" s="121">
        <v>1</v>
      </c>
      <c r="K95" s="120">
        <v>1.175</v>
      </c>
      <c r="L95" s="49">
        <v>1</v>
      </c>
      <c r="M95" s="121">
        <v>1</v>
      </c>
      <c r="N95" s="120">
        <v>1.25</v>
      </c>
      <c r="O95" s="49">
        <v>1</v>
      </c>
      <c r="P95" s="121">
        <v>1</v>
      </c>
      <c r="Q95">
        <v>40</v>
      </c>
      <c r="R95" t="s">
        <v>84</v>
      </c>
    </row>
    <row r="96" spans="1:18" x14ac:dyDescent="0.2">
      <c r="A96" s="234" t="str">
        <f t="shared" si="1"/>
        <v>NKW13_50</v>
      </c>
      <c r="B96" s="120">
        <v>1</v>
      </c>
      <c r="C96" s="47">
        <v>1</v>
      </c>
      <c r="D96" s="121">
        <v>1</v>
      </c>
      <c r="E96" s="120">
        <v>1</v>
      </c>
      <c r="F96" s="49">
        <v>1</v>
      </c>
      <c r="G96" s="121">
        <v>1</v>
      </c>
      <c r="H96" s="120">
        <v>1</v>
      </c>
      <c r="I96" s="49">
        <v>1</v>
      </c>
      <c r="J96" s="121">
        <v>1</v>
      </c>
      <c r="K96" s="120">
        <v>1</v>
      </c>
      <c r="L96" s="49">
        <v>1</v>
      </c>
      <c r="M96" s="121">
        <v>1</v>
      </c>
      <c r="N96" s="120">
        <v>1</v>
      </c>
      <c r="O96" s="49">
        <v>1</v>
      </c>
      <c r="P96" s="121">
        <v>1</v>
      </c>
      <c r="Q96">
        <v>50</v>
      </c>
      <c r="R96" t="s">
        <v>84</v>
      </c>
    </row>
    <row r="97" spans="1:18" x14ac:dyDescent="0.2">
      <c r="A97" s="234" t="str">
        <f t="shared" si="1"/>
        <v>NKW13_60</v>
      </c>
      <c r="B97" s="120">
        <v>0.94</v>
      </c>
      <c r="C97" s="47">
        <v>1</v>
      </c>
      <c r="D97" s="121">
        <v>1</v>
      </c>
      <c r="E97" s="120">
        <v>0.94</v>
      </c>
      <c r="F97" s="49">
        <v>1</v>
      </c>
      <c r="G97" s="121">
        <v>1</v>
      </c>
      <c r="H97" s="120">
        <v>0.94</v>
      </c>
      <c r="I97" s="49">
        <v>1</v>
      </c>
      <c r="J97" s="121">
        <v>1</v>
      </c>
      <c r="K97" s="120">
        <v>0.94</v>
      </c>
      <c r="L97" s="49">
        <v>1</v>
      </c>
      <c r="M97" s="121">
        <v>1</v>
      </c>
      <c r="N97" s="120">
        <v>0.94</v>
      </c>
      <c r="O97" s="49">
        <v>1</v>
      </c>
      <c r="P97" s="121">
        <v>1</v>
      </c>
      <c r="Q97">
        <v>60</v>
      </c>
      <c r="R97" t="s">
        <v>84</v>
      </c>
    </row>
    <row r="98" spans="1:18" x14ac:dyDescent="0.2">
      <c r="A98" s="234" t="str">
        <f t="shared" si="1"/>
        <v>NKW13_70</v>
      </c>
      <c r="B98" s="120">
        <v>0.88</v>
      </c>
      <c r="C98" s="47">
        <v>1</v>
      </c>
      <c r="D98" s="121">
        <v>1</v>
      </c>
      <c r="E98" s="120">
        <v>0.88</v>
      </c>
      <c r="F98" s="49">
        <v>1</v>
      </c>
      <c r="G98" s="121">
        <v>1</v>
      </c>
      <c r="H98" s="120">
        <v>0.88</v>
      </c>
      <c r="I98" s="49">
        <v>1</v>
      </c>
      <c r="J98" s="121">
        <v>1</v>
      </c>
      <c r="K98" s="120">
        <v>0.88</v>
      </c>
      <c r="L98" s="49">
        <v>1</v>
      </c>
      <c r="M98" s="121">
        <v>1</v>
      </c>
      <c r="N98" s="120">
        <v>0.88</v>
      </c>
      <c r="O98" s="49">
        <v>1</v>
      </c>
      <c r="P98" s="121">
        <v>1</v>
      </c>
      <c r="Q98">
        <v>70</v>
      </c>
      <c r="R98" t="s">
        <v>84</v>
      </c>
    </row>
    <row r="99" spans="1:18" x14ac:dyDescent="0.2">
      <c r="A99" s="234" t="str">
        <f t="shared" si="1"/>
        <v>NKW13_75</v>
      </c>
      <c r="B99" s="120">
        <v>0.85</v>
      </c>
      <c r="C99" s="47">
        <v>1</v>
      </c>
      <c r="D99" s="121">
        <v>1</v>
      </c>
      <c r="E99" s="120">
        <v>0.85</v>
      </c>
      <c r="F99" s="49">
        <v>1</v>
      </c>
      <c r="G99" s="121">
        <v>1</v>
      </c>
      <c r="H99" s="120">
        <v>0.85</v>
      </c>
      <c r="I99" s="49">
        <v>1</v>
      </c>
      <c r="J99" s="121">
        <v>1</v>
      </c>
      <c r="K99" s="120">
        <v>0.85</v>
      </c>
      <c r="L99" s="49">
        <v>1</v>
      </c>
      <c r="M99" s="121">
        <v>1</v>
      </c>
      <c r="N99" s="120">
        <v>0.85</v>
      </c>
      <c r="O99" s="49">
        <v>1</v>
      </c>
      <c r="P99" s="121">
        <v>1</v>
      </c>
      <c r="Q99">
        <v>75</v>
      </c>
      <c r="R99" t="s">
        <v>84</v>
      </c>
    </row>
    <row r="100" spans="1:18" x14ac:dyDescent="0.2">
      <c r="A100" s="234" t="str">
        <f t="shared" si="1"/>
        <v>NKW13_80</v>
      </c>
      <c r="B100" s="120">
        <v>0.82</v>
      </c>
      <c r="C100" s="47">
        <v>1</v>
      </c>
      <c r="D100" s="121">
        <v>1</v>
      </c>
      <c r="E100" s="120">
        <v>0.82</v>
      </c>
      <c r="F100" s="49">
        <v>1</v>
      </c>
      <c r="G100" s="121">
        <v>1</v>
      </c>
      <c r="H100" s="120">
        <v>0.82</v>
      </c>
      <c r="I100" s="49">
        <v>1</v>
      </c>
      <c r="J100" s="121">
        <v>1</v>
      </c>
      <c r="K100" s="120">
        <v>0.82</v>
      </c>
      <c r="L100" s="49">
        <v>1</v>
      </c>
      <c r="M100" s="121">
        <v>1</v>
      </c>
      <c r="N100" s="120">
        <v>0.82</v>
      </c>
      <c r="O100" s="49">
        <v>1</v>
      </c>
      <c r="P100" s="121">
        <v>1</v>
      </c>
      <c r="Q100">
        <v>80</v>
      </c>
      <c r="R100" t="s">
        <v>84</v>
      </c>
    </row>
    <row r="101" spans="1:18" x14ac:dyDescent="0.2">
      <c r="A101" s="234" t="str">
        <f t="shared" si="1"/>
        <v>NKW13_90</v>
      </c>
      <c r="B101" s="120">
        <v>0.76</v>
      </c>
      <c r="C101" s="47">
        <v>1</v>
      </c>
      <c r="D101" s="121">
        <v>1</v>
      </c>
      <c r="E101" s="120">
        <v>0.76</v>
      </c>
      <c r="F101" s="49">
        <v>1</v>
      </c>
      <c r="G101" s="121">
        <v>1</v>
      </c>
      <c r="H101" s="120">
        <v>0.76</v>
      </c>
      <c r="I101" s="49">
        <v>1</v>
      </c>
      <c r="J101" s="121">
        <v>1</v>
      </c>
      <c r="K101" s="120">
        <v>0.76</v>
      </c>
      <c r="L101" s="49">
        <v>1</v>
      </c>
      <c r="M101" s="121">
        <v>1</v>
      </c>
      <c r="N101" s="120">
        <v>0.76</v>
      </c>
      <c r="O101" s="49">
        <v>1</v>
      </c>
      <c r="P101" s="121">
        <v>1</v>
      </c>
      <c r="Q101">
        <v>90</v>
      </c>
      <c r="R101" t="s">
        <v>84</v>
      </c>
    </row>
    <row r="102" spans="1:18" x14ac:dyDescent="0.2">
      <c r="A102" s="234" t="str">
        <f t="shared" si="1"/>
        <v>NKW13_100</v>
      </c>
      <c r="B102" s="120">
        <v>0.7</v>
      </c>
      <c r="C102" s="47">
        <v>1</v>
      </c>
      <c r="D102" s="121">
        <v>1</v>
      </c>
      <c r="E102" s="120">
        <v>0.7</v>
      </c>
      <c r="F102" s="49">
        <v>1</v>
      </c>
      <c r="G102" s="121">
        <v>1</v>
      </c>
      <c r="H102" s="120">
        <v>0.7</v>
      </c>
      <c r="I102" s="49">
        <v>1</v>
      </c>
      <c r="J102" s="121">
        <v>1</v>
      </c>
      <c r="K102" s="120">
        <v>0.7</v>
      </c>
      <c r="L102" s="49">
        <v>1</v>
      </c>
      <c r="M102" s="121">
        <v>1</v>
      </c>
      <c r="N102" s="120">
        <v>0.7</v>
      </c>
      <c r="O102" s="49">
        <v>1</v>
      </c>
      <c r="P102" s="121">
        <v>1</v>
      </c>
      <c r="Q102">
        <v>100</v>
      </c>
      <c r="R102" t="s">
        <v>84</v>
      </c>
    </row>
    <row r="103" spans="1:18" x14ac:dyDescent="0.2">
      <c r="A103" t="str">
        <f t="shared" si="1"/>
        <v/>
      </c>
    </row>
    <row r="104" spans="1:18" x14ac:dyDescent="0.2">
      <c r="A104" t="str">
        <f t="shared" si="1"/>
        <v>NGH15_10</v>
      </c>
      <c r="B104" s="120">
        <v>1.4</v>
      </c>
      <c r="C104" s="47">
        <v>1</v>
      </c>
      <c r="D104" s="121">
        <v>1</v>
      </c>
      <c r="E104" s="120">
        <v>10</v>
      </c>
      <c r="F104" s="49">
        <v>1</v>
      </c>
      <c r="G104" s="121">
        <v>1</v>
      </c>
      <c r="H104" s="120">
        <v>2</v>
      </c>
      <c r="I104" s="49">
        <v>1</v>
      </c>
      <c r="J104" s="121">
        <v>1</v>
      </c>
      <c r="K104" s="120">
        <v>1.7</v>
      </c>
      <c r="L104" s="49">
        <v>1</v>
      </c>
      <c r="M104" s="121">
        <v>1</v>
      </c>
      <c r="N104" s="120">
        <v>2</v>
      </c>
      <c r="O104" s="49">
        <v>1</v>
      </c>
      <c r="P104" s="121">
        <v>1</v>
      </c>
      <c r="Q104">
        <v>10</v>
      </c>
      <c r="R104" t="s">
        <v>85</v>
      </c>
    </row>
    <row r="105" spans="1:18" x14ac:dyDescent="0.2">
      <c r="A105" t="str">
        <f t="shared" si="1"/>
        <v>NGH15_20</v>
      </c>
      <c r="B105" s="120">
        <v>1.3</v>
      </c>
      <c r="C105" s="47">
        <v>1</v>
      </c>
      <c r="D105" s="121">
        <v>1</v>
      </c>
      <c r="E105" s="120">
        <v>7.75</v>
      </c>
      <c r="F105" s="49">
        <v>1</v>
      </c>
      <c r="G105" s="121">
        <v>1</v>
      </c>
      <c r="H105" s="120">
        <v>1.75</v>
      </c>
      <c r="I105" s="49">
        <v>1</v>
      </c>
      <c r="J105" s="121">
        <v>1</v>
      </c>
      <c r="K105" s="120">
        <v>1.5249999999999999</v>
      </c>
      <c r="L105" s="49">
        <v>1</v>
      </c>
      <c r="M105" s="121">
        <v>1</v>
      </c>
      <c r="N105" s="120">
        <v>1.75</v>
      </c>
      <c r="O105" s="49">
        <v>1</v>
      </c>
      <c r="P105" s="121">
        <v>1</v>
      </c>
      <c r="Q105">
        <v>20</v>
      </c>
      <c r="R105" t="s">
        <v>85</v>
      </c>
    </row>
    <row r="106" spans="1:18" x14ac:dyDescent="0.2">
      <c r="A106" t="str">
        <f t="shared" si="1"/>
        <v>NGH15_30</v>
      </c>
      <c r="B106" s="120">
        <v>1.2</v>
      </c>
      <c r="C106" s="47">
        <v>1</v>
      </c>
      <c r="D106" s="121">
        <v>1</v>
      </c>
      <c r="E106" s="120">
        <v>5.5</v>
      </c>
      <c r="F106" s="49">
        <v>1</v>
      </c>
      <c r="G106" s="121">
        <v>1</v>
      </c>
      <c r="H106" s="120">
        <v>1.5</v>
      </c>
      <c r="I106" s="49">
        <v>1</v>
      </c>
      <c r="J106" s="121">
        <v>1</v>
      </c>
      <c r="K106" s="120">
        <v>1.35</v>
      </c>
      <c r="L106" s="49">
        <v>1</v>
      </c>
      <c r="M106" s="121">
        <v>1</v>
      </c>
      <c r="N106" s="120">
        <v>1.5</v>
      </c>
      <c r="O106" s="49">
        <v>1</v>
      </c>
      <c r="P106" s="121">
        <v>1</v>
      </c>
      <c r="Q106">
        <v>30</v>
      </c>
      <c r="R106" t="s">
        <v>85</v>
      </c>
    </row>
    <row r="107" spans="1:18" x14ac:dyDescent="0.2">
      <c r="A107" t="str">
        <f t="shared" si="1"/>
        <v>NGH15_40</v>
      </c>
      <c r="B107" s="120">
        <v>1.1000000000000001</v>
      </c>
      <c r="C107" s="47">
        <v>1</v>
      </c>
      <c r="D107" s="121">
        <v>1</v>
      </c>
      <c r="E107" s="120">
        <v>3.25</v>
      </c>
      <c r="F107" s="49">
        <v>1</v>
      </c>
      <c r="G107" s="121">
        <v>1</v>
      </c>
      <c r="H107" s="120">
        <v>1.25</v>
      </c>
      <c r="I107" s="49">
        <v>1</v>
      </c>
      <c r="J107" s="121">
        <v>1</v>
      </c>
      <c r="K107" s="120">
        <v>1.175</v>
      </c>
      <c r="L107" s="49">
        <v>1</v>
      </c>
      <c r="M107" s="121">
        <v>1</v>
      </c>
      <c r="N107" s="120">
        <v>1.25</v>
      </c>
      <c r="O107" s="49">
        <v>1</v>
      </c>
      <c r="P107" s="121">
        <v>1</v>
      </c>
      <c r="Q107">
        <v>40</v>
      </c>
      <c r="R107" t="s">
        <v>85</v>
      </c>
    </row>
    <row r="108" spans="1:18" x14ac:dyDescent="0.2">
      <c r="A108" t="str">
        <f t="shared" si="1"/>
        <v>NGH15_50</v>
      </c>
      <c r="B108" s="120">
        <v>1</v>
      </c>
      <c r="C108" s="47">
        <v>1</v>
      </c>
      <c r="D108" s="121">
        <v>1</v>
      </c>
      <c r="E108" s="120">
        <v>1</v>
      </c>
      <c r="F108" s="49">
        <v>1</v>
      </c>
      <c r="G108" s="121">
        <v>1</v>
      </c>
      <c r="H108" s="120">
        <v>1</v>
      </c>
      <c r="I108" s="49">
        <v>1</v>
      </c>
      <c r="J108" s="121">
        <v>1</v>
      </c>
      <c r="K108" s="120">
        <v>1</v>
      </c>
      <c r="L108" s="49">
        <v>1</v>
      </c>
      <c r="M108" s="121">
        <v>1</v>
      </c>
      <c r="N108" s="120">
        <v>1</v>
      </c>
      <c r="O108" s="49">
        <v>1</v>
      </c>
      <c r="P108" s="121">
        <v>1</v>
      </c>
      <c r="Q108">
        <v>50</v>
      </c>
      <c r="R108" t="s">
        <v>85</v>
      </c>
    </row>
    <row r="109" spans="1:18" x14ac:dyDescent="0.2">
      <c r="A109" t="str">
        <f t="shared" si="1"/>
        <v>NGH15_60</v>
      </c>
      <c r="B109" s="120">
        <v>0.94</v>
      </c>
      <c r="C109" s="47">
        <v>1</v>
      </c>
      <c r="D109" s="121">
        <v>1</v>
      </c>
      <c r="E109" s="120">
        <v>0.94</v>
      </c>
      <c r="F109" s="49">
        <v>1</v>
      </c>
      <c r="G109" s="121">
        <v>1</v>
      </c>
      <c r="H109" s="120">
        <v>0.94</v>
      </c>
      <c r="I109" s="49">
        <v>1</v>
      </c>
      <c r="J109" s="121">
        <v>1</v>
      </c>
      <c r="K109" s="120">
        <v>0.94</v>
      </c>
      <c r="L109" s="49">
        <v>1</v>
      </c>
      <c r="M109" s="121">
        <v>1</v>
      </c>
      <c r="N109" s="120">
        <v>0.94</v>
      </c>
      <c r="O109" s="49">
        <v>1</v>
      </c>
      <c r="P109" s="121">
        <v>1</v>
      </c>
      <c r="Q109">
        <v>60</v>
      </c>
      <c r="R109" t="s">
        <v>85</v>
      </c>
    </row>
    <row r="110" spans="1:18" x14ac:dyDescent="0.2">
      <c r="A110" t="str">
        <f t="shared" si="1"/>
        <v>NGH15_70</v>
      </c>
      <c r="B110" s="120">
        <v>0.88</v>
      </c>
      <c r="C110" s="47">
        <v>1</v>
      </c>
      <c r="D110" s="121">
        <v>1</v>
      </c>
      <c r="E110" s="120">
        <v>0.88</v>
      </c>
      <c r="F110" s="49">
        <v>1</v>
      </c>
      <c r="G110" s="121">
        <v>1</v>
      </c>
      <c r="H110" s="120">
        <v>0.88</v>
      </c>
      <c r="I110" s="49">
        <v>1</v>
      </c>
      <c r="J110" s="121">
        <v>1</v>
      </c>
      <c r="K110" s="120">
        <v>0.88</v>
      </c>
      <c r="L110" s="49">
        <v>1</v>
      </c>
      <c r="M110" s="121">
        <v>1</v>
      </c>
      <c r="N110" s="120">
        <v>0.88</v>
      </c>
      <c r="O110" s="49">
        <v>1</v>
      </c>
      <c r="P110" s="121">
        <v>1</v>
      </c>
      <c r="Q110">
        <v>70</v>
      </c>
      <c r="R110" t="s">
        <v>85</v>
      </c>
    </row>
    <row r="111" spans="1:18" x14ac:dyDescent="0.2">
      <c r="A111" t="str">
        <f t="shared" si="1"/>
        <v>NGH15_75</v>
      </c>
      <c r="B111" s="120">
        <v>0.85</v>
      </c>
      <c r="C111" s="47">
        <v>1</v>
      </c>
      <c r="D111" s="121">
        <v>1</v>
      </c>
      <c r="E111" s="120">
        <v>0.85</v>
      </c>
      <c r="F111" s="49">
        <v>1</v>
      </c>
      <c r="G111" s="121">
        <v>1</v>
      </c>
      <c r="H111" s="120">
        <v>0.85</v>
      </c>
      <c r="I111" s="49">
        <v>1</v>
      </c>
      <c r="J111" s="121">
        <v>1</v>
      </c>
      <c r="K111" s="120">
        <v>0.85</v>
      </c>
      <c r="L111" s="49">
        <v>1</v>
      </c>
      <c r="M111" s="121">
        <v>1</v>
      </c>
      <c r="N111" s="120">
        <v>0.85</v>
      </c>
      <c r="O111" s="49">
        <v>1</v>
      </c>
      <c r="P111" s="121">
        <v>1</v>
      </c>
      <c r="Q111">
        <v>75</v>
      </c>
      <c r="R111" t="s">
        <v>85</v>
      </c>
    </row>
    <row r="112" spans="1:18" x14ac:dyDescent="0.2">
      <c r="A112" t="str">
        <f t="shared" si="1"/>
        <v>NGH15_80</v>
      </c>
      <c r="B112" s="120">
        <v>0.82</v>
      </c>
      <c r="C112" s="47">
        <v>1</v>
      </c>
      <c r="D112" s="121">
        <v>1</v>
      </c>
      <c r="E112" s="120">
        <v>0.82</v>
      </c>
      <c r="F112" s="49">
        <v>1</v>
      </c>
      <c r="G112" s="121">
        <v>1</v>
      </c>
      <c r="H112" s="120">
        <v>0.82</v>
      </c>
      <c r="I112" s="49">
        <v>1</v>
      </c>
      <c r="J112" s="121">
        <v>1</v>
      </c>
      <c r="K112" s="120">
        <v>0.82</v>
      </c>
      <c r="L112" s="49">
        <v>1</v>
      </c>
      <c r="M112" s="121">
        <v>1</v>
      </c>
      <c r="N112" s="120">
        <v>0.82</v>
      </c>
      <c r="O112" s="49">
        <v>1</v>
      </c>
      <c r="P112" s="121">
        <v>1</v>
      </c>
      <c r="Q112">
        <v>80</v>
      </c>
      <c r="R112" t="s">
        <v>85</v>
      </c>
    </row>
    <row r="113" spans="1:18" x14ac:dyDescent="0.2">
      <c r="A113" t="str">
        <f t="shared" si="1"/>
        <v>NGH15_90</v>
      </c>
      <c r="B113" s="120">
        <v>0.76</v>
      </c>
      <c r="C113" s="47">
        <v>1</v>
      </c>
      <c r="D113" s="121">
        <v>1</v>
      </c>
      <c r="E113" s="120">
        <v>0.76</v>
      </c>
      <c r="F113" s="49">
        <v>1</v>
      </c>
      <c r="G113" s="121">
        <v>1</v>
      </c>
      <c r="H113" s="120">
        <v>0.76</v>
      </c>
      <c r="I113" s="49">
        <v>1</v>
      </c>
      <c r="J113" s="121">
        <v>1</v>
      </c>
      <c r="K113" s="120">
        <v>0.76</v>
      </c>
      <c r="L113" s="49">
        <v>1</v>
      </c>
      <c r="M113" s="121">
        <v>1</v>
      </c>
      <c r="N113" s="120">
        <v>0.76</v>
      </c>
      <c r="O113" s="49">
        <v>1</v>
      </c>
      <c r="P113" s="121">
        <v>1</v>
      </c>
      <c r="Q113">
        <v>90</v>
      </c>
      <c r="R113" t="s">
        <v>85</v>
      </c>
    </row>
    <row r="114" spans="1:18" x14ac:dyDescent="0.2">
      <c r="A114" t="str">
        <f t="shared" si="1"/>
        <v>NGH15_100</v>
      </c>
      <c r="B114" s="120">
        <v>0.7</v>
      </c>
      <c r="C114" s="47">
        <v>1</v>
      </c>
      <c r="D114" s="121">
        <v>1</v>
      </c>
      <c r="E114" s="120">
        <v>0.7</v>
      </c>
      <c r="F114" s="49">
        <v>1</v>
      </c>
      <c r="G114" s="121">
        <v>1</v>
      </c>
      <c r="H114" s="120">
        <v>0.7</v>
      </c>
      <c r="I114" s="49">
        <v>1</v>
      </c>
      <c r="J114" s="121">
        <v>1</v>
      </c>
      <c r="K114" s="120">
        <v>0.7</v>
      </c>
      <c r="L114" s="49">
        <v>1</v>
      </c>
      <c r="M114" s="121">
        <v>1</v>
      </c>
      <c r="N114" s="120">
        <v>0.7</v>
      </c>
      <c r="O114" s="49">
        <v>1</v>
      </c>
      <c r="P114" s="121">
        <v>1</v>
      </c>
      <c r="Q114">
        <v>100</v>
      </c>
      <c r="R114" t="s">
        <v>85</v>
      </c>
    </row>
    <row r="115" spans="1:18" x14ac:dyDescent="0.2">
      <c r="A115" t="str">
        <f t="shared" si="1"/>
        <v>NGH15_110</v>
      </c>
      <c r="B115" s="120">
        <v>0.7</v>
      </c>
      <c r="C115" s="49">
        <v>1</v>
      </c>
      <c r="D115" s="121">
        <v>0.875</v>
      </c>
      <c r="E115" s="120">
        <v>0.7</v>
      </c>
      <c r="F115" s="49">
        <v>1</v>
      </c>
      <c r="G115" s="121">
        <v>0.875</v>
      </c>
      <c r="H115" s="120">
        <v>0.7</v>
      </c>
      <c r="I115" s="49">
        <v>1</v>
      </c>
      <c r="J115" s="121">
        <v>0.875</v>
      </c>
      <c r="K115" s="120">
        <v>0.7</v>
      </c>
      <c r="L115" s="49">
        <v>1</v>
      </c>
      <c r="M115" s="121">
        <v>0.875</v>
      </c>
      <c r="N115" s="120">
        <v>0.7</v>
      </c>
      <c r="O115" s="49">
        <v>1</v>
      </c>
      <c r="P115" s="121">
        <v>0.75</v>
      </c>
      <c r="Q115" s="49">
        <v>110</v>
      </c>
      <c r="R115" t="s">
        <v>85</v>
      </c>
    </row>
    <row r="116" spans="1:18" x14ac:dyDescent="0.2">
      <c r="A116" t="str">
        <f t="shared" si="1"/>
        <v>NGH15_120</v>
      </c>
      <c r="B116" s="120">
        <v>0.7</v>
      </c>
      <c r="C116" s="49">
        <v>1</v>
      </c>
      <c r="D116" s="121">
        <v>0.75</v>
      </c>
      <c r="E116" s="120">
        <v>0.7</v>
      </c>
      <c r="F116" s="49">
        <v>1</v>
      </c>
      <c r="G116" s="121">
        <v>0.75</v>
      </c>
      <c r="H116" s="120">
        <v>0.7</v>
      </c>
      <c r="I116" s="49">
        <v>1</v>
      </c>
      <c r="J116" s="121">
        <v>0.75</v>
      </c>
      <c r="K116" s="120">
        <v>0.7</v>
      </c>
      <c r="L116" s="49">
        <v>1</v>
      </c>
      <c r="M116" s="121">
        <v>0.75</v>
      </c>
      <c r="N116" s="120">
        <v>0.7</v>
      </c>
      <c r="O116" s="49">
        <v>1</v>
      </c>
      <c r="P116" s="121">
        <v>0.5</v>
      </c>
      <c r="Q116" s="49">
        <v>120</v>
      </c>
      <c r="R116" t="s">
        <v>85</v>
      </c>
    </row>
    <row r="117" spans="1:18" x14ac:dyDescent="0.2">
      <c r="A117" t="str">
        <f t="shared" si="1"/>
        <v/>
      </c>
    </row>
    <row r="118" spans="1:18" x14ac:dyDescent="0.2">
      <c r="A118" t="str">
        <f t="shared" si="1"/>
        <v>NSC15_10</v>
      </c>
      <c r="B118" s="120">
        <v>1.4</v>
      </c>
      <c r="C118" s="47">
        <v>1</v>
      </c>
      <c r="D118" s="121">
        <v>1</v>
      </c>
      <c r="E118" s="120">
        <v>10</v>
      </c>
      <c r="F118" s="49">
        <v>1</v>
      </c>
      <c r="G118" s="121">
        <v>1</v>
      </c>
      <c r="H118" s="120">
        <v>2</v>
      </c>
      <c r="I118" s="49">
        <v>1</v>
      </c>
      <c r="J118" s="121">
        <v>1</v>
      </c>
      <c r="K118" s="120">
        <v>1.7</v>
      </c>
      <c r="L118" s="49">
        <v>1</v>
      </c>
      <c r="M118" s="121">
        <v>1</v>
      </c>
      <c r="N118" s="120">
        <v>2</v>
      </c>
      <c r="O118" s="49">
        <v>1</v>
      </c>
      <c r="P118" s="121">
        <v>1</v>
      </c>
      <c r="Q118">
        <v>10</v>
      </c>
      <c r="R118" t="s">
        <v>86</v>
      </c>
    </row>
    <row r="119" spans="1:18" x14ac:dyDescent="0.2">
      <c r="A119" t="str">
        <f t="shared" si="1"/>
        <v>NSC15_20</v>
      </c>
      <c r="B119" s="120">
        <v>1.3</v>
      </c>
      <c r="C119" s="47">
        <v>1</v>
      </c>
      <c r="D119" s="121">
        <v>1</v>
      </c>
      <c r="E119" s="120">
        <v>7.75</v>
      </c>
      <c r="F119" s="49">
        <v>1</v>
      </c>
      <c r="G119" s="121">
        <v>1</v>
      </c>
      <c r="H119" s="120">
        <v>1.75</v>
      </c>
      <c r="I119" s="49">
        <v>1</v>
      </c>
      <c r="J119" s="121">
        <v>1</v>
      </c>
      <c r="K119" s="120">
        <v>1.5249999999999999</v>
      </c>
      <c r="L119" s="49">
        <v>1</v>
      </c>
      <c r="M119" s="121">
        <v>1</v>
      </c>
      <c r="N119" s="120">
        <v>1.75</v>
      </c>
      <c r="O119" s="49">
        <v>1</v>
      </c>
      <c r="P119" s="121">
        <v>1</v>
      </c>
      <c r="Q119">
        <v>20</v>
      </c>
      <c r="R119" t="s">
        <v>86</v>
      </c>
    </row>
    <row r="120" spans="1:18" x14ac:dyDescent="0.2">
      <c r="A120" t="str">
        <f t="shared" si="1"/>
        <v>NSC15_30</v>
      </c>
      <c r="B120" s="120">
        <v>1.2</v>
      </c>
      <c r="C120" s="47">
        <v>1</v>
      </c>
      <c r="D120" s="121">
        <v>1</v>
      </c>
      <c r="E120" s="120">
        <v>5.5</v>
      </c>
      <c r="F120" s="49">
        <v>1</v>
      </c>
      <c r="G120" s="121">
        <v>1</v>
      </c>
      <c r="H120" s="120">
        <v>1.5</v>
      </c>
      <c r="I120" s="49">
        <v>1</v>
      </c>
      <c r="J120" s="121">
        <v>1</v>
      </c>
      <c r="K120" s="120">
        <v>1.35</v>
      </c>
      <c r="L120" s="49">
        <v>1</v>
      </c>
      <c r="M120" s="121">
        <v>1</v>
      </c>
      <c r="N120" s="120">
        <v>1.5</v>
      </c>
      <c r="O120" s="49">
        <v>1</v>
      </c>
      <c r="P120" s="121">
        <v>1</v>
      </c>
      <c r="Q120">
        <v>30</v>
      </c>
      <c r="R120" t="s">
        <v>86</v>
      </c>
    </row>
    <row r="121" spans="1:18" x14ac:dyDescent="0.2">
      <c r="A121" t="str">
        <f t="shared" si="1"/>
        <v>NSC15_40</v>
      </c>
      <c r="B121" s="120">
        <v>1.1000000000000001</v>
      </c>
      <c r="C121" s="47">
        <v>1</v>
      </c>
      <c r="D121" s="121">
        <v>1</v>
      </c>
      <c r="E121" s="120">
        <v>3.25</v>
      </c>
      <c r="F121" s="49">
        <v>1</v>
      </c>
      <c r="G121" s="121">
        <v>1</v>
      </c>
      <c r="H121" s="120">
        <v>1.25</v>
      </c>
      <c r="I121" s="49">
        <v>1</v>
      </c>
      <c r="J121" s="121">
        <v>1</v>
      </c>
      <c r="K121" s="120">
        <v>1.175</v>
      </c>
      <c r="L121" s="49">
        <v>1</v>
      </c>
      <c r="M121" s="121">
        <v>1</v>
      </c>
      <c r="N121" s="120">
        <v>1.25</v>
      </c>
      <c r="O121" s="49">
        <v>1</v>
      </c>
      <c r="P121" s="121">
        <v>1</v>
      </c>
      <c r="Q121">
        <v>40</v>
      </c>
      <c r="R121" t="s">
        <v>86</v>
      </c>
    </row>
    <row r="122" spans="1:18" x14ac:dyDescent="0.2">
      <c r="A122" t="str">
        <f t="shared" si="1"/>
        <v>NSC15_50</v>
      </c>
      <c r="B122" s="120">
        <v>1</v>
      </c>
      <c r="C122" s="47">
        <v>1</v>
      </c>
      <c r="D122" s="121">
        <v>1</v>
      </c>
      <c r="E122" s="120">
        <v>1</v>
      </c>
      <c r="F122" s="49">
        <v>1</v>
      </c>
      <c r="G122" s="121">
        <v>1</v>
      </c>
      <c r="H122" s="120">
        <v>1</v>
      </c>
      <c r="I122" s="49">
        <v>1</v>
      </c>
      <c r="J122" s="121">
        <v>1</v>
      </c>
      <c r="K122" s="120">
        <v>1</v>
      </c>
      <c r="L122" s="49">
        <v>1</v>
      </c>
      <c r="M122" s="121">
        <v>1</v>
      </c>
      <c r="N122" s="120">
        <v>1</v>
      </c>
      <c r="O122" s="49">
        <v>1</v>
      </c>
      <c r="P122" s="121">
        <v>1</v>
      </c>
      <c r="Q122">
        <v>50</v>
      </c>
      <c r="R122" t="s">
        <v>86</v>
      </c>
    </row>
    <row r="123" spans="1:18" x14ac:dyDescent="0.2">
      <c r="A123" t="str">
        <f t="shared" si="1"/>
        <v>NSC15_60</v>
      </c>
      <c r="B123" s="120">
        <v>0.94</v>
      </c>
      <c r="C123" s="47">
        <v>1</v>
      </c>
      <c r="D123" s="121">
        <v>1</v>
      </c>
      <c r="E123" s="120">
        <v>0.94</v>
      </c>
      <c r="F123" s="49">
        <v>1</v>
      </c>
      <c r="G123" s="121">
        <v>1</v>
      </c>
      <c r="H123" s="120">
        <v>0.94</v>
      </c>
      <c r="I123" s="49">
        <v>1</v>
      </c>
      <c r="J123" s="121">
        <v>1</v>
      </c>
      <c r="K123" s="120">
        <v>0.94</v>
      </c>
      <c r="L123" s="49">
        <v>1</v>
      </c>
      <c r="M123" s="121">
        <v>1</v>
      </c>
      <c r="N123" s="120">
        <v>0.94</v>
      </c>
      <c r="O123" s="49">
        <v>1</v>
      </c>
      <c r="P123" s="121">
        <v>1</v>
      </c>
      <c r="Q123">
        <v>60</v>
      </c>
      <c r="R123" t="s">
        <v>86</v>
      </c>
    </row>
    <row r="124" spans="1:18" x14ac:dyDescent="0.2">
      <c r="A124" t="str">
        <f t="shared" si="1"/>
        <v>NSC15_70</v>
      </c>
      <c r="B124" s="120">
        <v>0.88</v>
      </c>
      <c r="C124" s="47">
        <v>1</v>
      </c>
      <c r="D124" s="121">
        <v>1</v>
      </c>
      <c r="E124" s="120">
        <v>0.88</v>
      </c>
      <c r="F124" s="49">
        <v>1</v>
      </c>
      <c r="G124" s="121">
        <v>1</v>
      </c>
      <c r="H124" s="120">
        <v>0.88</v>
      </c>
      <c r="I124" s="49">
        <v>1</v>
      </c>
      <c r="J124" s="121">
        <v>1</v>
      </c>
      <c r="K124" s="120">
        <v>0.88</v>
      </c>
      <c r="L124" s="49">
        <v>1</v>
      </c>
      <c r="M124" s="121">
        <v>1</v>
      </c>
      <c r="N124" s="120">
        <v>0.88</v>
      </c>
      <c r="O124" s="49">
        <v>1</v>
      </c>
      <c r="P124" s="121">
        <v>1</v>
      </c>
      <c r="Q124">
        <v>70</v>
      </c>
      <c r="R124" t="s">
        <v>86</v>
      </c>
    </row>
    <row r="125" spans="1:18" x14ac:dyDescent="0.2">
      <c r="A125" t="str">
        <f t="shared" si="1"/>
        <v>NSC15_75</v>
      </c>
      <c r="B125" s="120">
        <v>0.85</v>
      </c>
      <c r="C125" s="47">
        <v>1</v>
      </c>
      <c r="D125" s="121">
        <v>1</v>
      </c>
      <c r="E125" s="120">
        <v>0.85</v>
      </c>
      <c r="F125" s="49">
        <v>1</v>
      </c>
      <c r="G125" s="121">
        <v>1</v>
      </c>
      <c r="H125" s="120">
        <v>0.85</v>
      </c>
      <c r="I125" s="49">
        <v>1</v>
      </c>
      <c r="J125" s="121">
        <v>1</v>
      </c>
      <c r="K125" s="120">
        <v>0.85</v>
      </c>
      <c r="L125" s="49">
        <v>1</v>
      </c>
      <c r="M125" s="121">
        <v>1</v>
      </c>
      <c r="N125" s="120">
        <v>0.85</v>
      </c>
      <c r="O125" s="49">
        <v>1</v>
      </c>
      <c r="P125" s="121">
        <v>1</v>
      </c>
      <c r="Q125">
        <v>75</v>
      </c>
      <c r="R125" t="s">
        <v>86</v>
      </c>
    </row>
    <row r="126" spans="1:18" x14ac:dyDescent="0.2">
      <c r="A126" t="str">
        <f t="shared" si="1"/>
        <v>NSC15_80</v>
      </c>
      <c r="B126" s="120">
        <v>0.82</v>
      </c>
      <c r="C126" s="47">
        <v>1</v>
      </c>
      <c r="D126" s="121">
        <v>1</v>
      </c>
      <c r="E126" s="120">
        <v>0.82</v>
      </c>
      <c r="F126" s="49">
        <v>1</v>
      </c>
      <c r="G126" s="121">
        <v>1</v>
      </c>
      <c r="H126" s="120">
        <v>0.82</v>
      </c>
      <c r="I126" s="49">
        <v>1</v>
      </c>
      <c r="J126" s="121">
        <v>1</v>
      </c>
      <c r="K126" s="120">
        <v>0.82</v>
      </c>
      <c r="L126" s="49">
        <v>1</v>
      </c>
      <c r="M126" s="121">
        <v>1</v>
      </c>
      <c r="N126" s="120">
        <v>0.82</v>
      </c>
      <c r="O126" s="49">
        <v>1</v>
      </c>
      <c r="P126" s="121">
        <v>1</v>
      </c>
      <c r="Q126">
        <v>80</v>
      </c>
      <c r="R126" t="s">
        <v>86</v>
      </c>
    </row>
    <row r="127" spans="1:18" x14ac:dyDescent="0.2">
      <c r="A127" t="str">
        <f t="shared" si="1"/>
        <v>NSC15_90</v>
      </c>
      <c r="B127" s="120">
        <v>0.76</v>
      </c>
      <c r="C127" s="47">
        <v>1</v>
      </c>
      <c r="D127" s="121">
        <v>1</v>
      </c>
      <c r="E127" s="120">
        <v>0.76</v>
      </c>
      <c r="F127" s="49">
        <v>1</v>
      </c>
      <c r="G127" s="121">
        <v>1</v>
      </c>
      <c r="H127" s="120">
        <v>0.76</v>
      </c>
      <c r="I127" s="49">
        <v>1</v>
      </c>
      <c r="J127" s="121">
        <v>1</v>
      </c>
      <c r="K127" s="120">
        <v>0.76</v>
      </c>
      <c r="L127" s="49">
        <v>1</v>
      </c>
      <c r="M127" s="121">
        <v>1</v>
      </c>
      <c r="N127" s="120">
        <v>0.76</v>
      </c>
      <c r="O127" s="49">
        <v>1</v>
      </c>
      <c r="P127" s="121">
        <v>1</v>
      </c>
      <c r="Q127">
        <v>90</v>
      </c>
      <c r="R127" t="s">
        <v>86</v>
      </c>
    </row>
    <row r="128" spans="1:18" x14ac:dyDescent="0.2">
      <c r="A128" t="str">
        <f t="shared" si="1"/>
        <v>NSC15_100</v>
      </c>
      <c r="B128" s="120">
        <v>0.7</v>
      </c>
      <c r="C128" s="47">
        <v>1</v>
      </c>
      <c r="D128" s="121">
        <v>1</v>
      </c>
      <c r="E128" s="120">
        <v>0.7</v>
      </c>
      <c r="F128" s="49">
        <v>1</v>
      </c>
      <c r="G128" s="121">
        <v>1</v>
      </c>
      <c r="H128" s="120">
        <v>0.7</v>
      </c>
      <c r="I128" s="49">
        <v>1</v>
      </c>
      <c r="J128" s="121">
        <v>1</v>
      </c>
      <c r="K128" s="120">
        <v>0.7</v>
      </c>
      <c r="L128" s="49">
        <v>1</v>
      </c>
      <c r="M128" s="121">
        <v>1</v>
      </c>
      <c r="N128" s="120">
        <v>0.7</v>
      </c>
      <c r="O128" s="49">
        <v>1</v>
      </c>
      <c r="P128" s="121">
        <v>1</v>
      </c>
      <c r="Q128">
        <v>100</v>
      </c>
      <c r="R128" t="s">
        <v>86</v>
      </c>
    </row>
    <row r="129" spans="1:18" x14ac:dyDescent="0.2">
      <c r="A129" t="str">
        <f t="shared" si="1"/>
        <v>NSC15_110</v>
      </c>
      <c r="B129" s="120">
        <v>0.7</v>
      </c>
      <c r="C129" s="49">
        <v>1</v>
      </c>
      <c r="D129" s="121">
        <v>0.875</v>
      </c>
      <c r="E129" s="120">
        <v>0.7</v>
      </c>
      <c r="F129" s="49">
        <v>1</v>
      </c>
      <c r="G129" s="121">
        <v>0.875</v>
      </c>
      <c r="H129" s="120">
        <v>0.7</v>
      </c>
      <c r="I129" s="49">
        <v>1</v>
      </c>
      <c r="J129" s="121">
        <v>0.875</v>
      </c>
      <c r="K129" s="120">
        <v>0.7</v>
      </c>
      <c r="L129" s="49">
        <v>1</v>
      </c>
      <c r="M129" s="121">
        <v>0.875</v>
      </c>
      <c r="N129" s="120">
        <v>0.7</v>
      </c>
      <c r="O129" s="49">
        <v>1</v>
      </c>
      <c r="P129" s="121">
        <v>0.75</v>
      </c>
      <c r="Q129" s="49">
        <v>110</v>
      </c>
      <c r="R129" t="s">
        <v>86</v>
      </c>
    </row>
    <row r="130" spans="1:18" x14ac:dyDescent="0.2">
      <c r="A130" t="str">
        <f t="shared" si="1"/>
        <v>NSC15_120</v>
      </c>
      <c r="B130" s="120">
        <v>0.7</v>
      </c>
      <c r="C130" s="49">
        <v>1</v>
      </c>
      <c r="D130" s="121">
        <v>0.75</v>
      </c>
      <c r="E130" s="120">
        <v>0.7</v>
      </c>
      <c r="F130" s="49">
        <v>1</v>
      </c>
      <c r="G130" s="121">
        <v>0.75</v>
      </c>
      <c r="H130" s="120">
        <v>0.7</v>
      </c>
      <c r="I130" s="49">
        <v>1</v>
      </c>
      <c r="J130" s="121">
        <v>0.75</v>
      </c>
      <c r="K130" s="120">
        <v>0.7</v>
      </c>
      <c r="L130" s="49">
        <v>1</v>
      </c>
      <c r="M130" s="121">
        <v>0.75</v>
      </c>
      <c r="N130" s="120">
        <v>0.7</v>
      </c>
      <c r="O130" s="49">
        <v>1</v>
      </c>
      <c r="P130" s="121">
        <v>0.5</v>
      </c>
      <c r="Q130" s="49">
        <v>120</v>
      </c>
      <c r="R130" t="s">
        <v>86</v>
      </c>
    </row>
    <row r="131" spans="1:18" x14ac:dyDescent="0.2">
      <c r="A131" t="str">
        <f t="shared" ref="A131:A194" si="2">IF(R131="","",CONCATENATE(R131,"_",Q131))</f>
        <v/>
      </c>
    </row>
    <row r="132" spans="1:18" x14ac:dyDescent="0.2">
      <c r="A132" t="str">
        <f t="shared" si="2"/>
        <v>NVM15_10</v>
      </c>
      <c r="B132" s="120">
        <v>1.4</v>
      </c>
      <c r="C132" s="47">
        <v>1</v>
      </c>
      <c r="D132" s="121">
        <v>1</v>
      </c>
      <c r="E132" s="120">
        <v>10</v>
      </c>
      <c r="F132" s="49">
        <v>1</v>
      </c>
      <c r="G132" s="121">
        <v>1</v>
      </c>
      <c r="H132" s="120">
        <v>2</v>
      </c>
      <c r="I132" s="49">
        <v>1</v>
      </c>
      <c r="J132" s="121">
        <v>1</v>
      </c>
      <c r="K132" s="120">
        <v>1.7</v>
      </c>
      <c r="L132" s="49">
        <v>1</v>
      </c>
      <c r="M132" s="121">
        <v>1</v>
      </c>
      <c r="N132" s="120">
        <v>2</v>
      </c>
      <c r="O132" s="49">
        <v>1</v>
      </c>
      <c r="P132" s="121">
        <v>1</v>
      </c>
      <c r="Q132">
        <v>10</v>
      </c>
      <c r="R132" t="s">
        <v>87</v>
      </c>
    </row>
    <row r="133" spans="1:18" x14ac:dyDescent="0.2">
      <c r="A133" t="str">
        <f t="shared" si="2"/>
        <v>NVM15_20</v>
      </c>
      <c r="B133" s="120">
        <v>1.3</v>
      </c>
      <c r="C133" s="47">
        <v>1</v>
      </c>
      <c r="D133" s="121">
        <v>1</v>
      </c>
      <c r="E133" s="120">
        <v>7.75</v>
      </c>
      <c r="F133" s="49">
        <v>1</v>
      </c>
      <c r="G133" s="121">
        <v>1</v>
      </c>
      <c r="H133" s="120">
        <v>1.75</v>
      </c>
      <c r="I133" s="49">
        <v>1</v>
      </c>
      <c r="J133" s="121">
        <v>1</v>
      </c>
      <c r="K133" s="120">
        <v>1.5249999999999999</v>
      </c>
      <c r="L133" s="49">
        <v>1</v>
      </c>
      <c r="M133" s="121">
        <v>1</v>
      </c>
      <c r="N133" s="120">
        <v>1.75</v>
      </c>
      <c r="O133" s="49">
        <v>1</v>
      </c>
      <c r="P133" s="121">
        <v>1</v>
      </c>
      <c r="Q133">
        <v>20</v>
      </c>
      <c r="R133" t="s">
        <v>87</v>
      </c>
    </row>
    <row r="134" spans="1:18" x14ac:dyDescent="0.2">
      <c r="A134" t="str">
        <f t="shared" si="2"/>
        <v>NVM15_30</v>
      </c>
      <c r="B134" s="120">
        <v>1.2</v>
      </c>
      <c r="C134" s="47">
        <v>1</v>
      </c>
      <c r="D134" s="121">
        <v>1</v>
      </c>
      <c r="E134" s="120">
        <v>5.5</v>
      </c>
      <c r="F134" s="49">
        <v>1</v>
      </c>
      <c r="G134" s="121">
        <v>1</v>
      </c>
      <c r="H134" s="120">
        <v>1.5</v>
      </c>
      <c r="I134" s="49">
        <v>1</v>
      </c>
      <c r="J134" s="121">
        <v>1</v>
      </c>
      <c r="K134" s="120">
        <v>1.35</v>
      </c>
      <c r="L134" s="49">
        <v>1</v>
      </c>
      <c r="M134" s="121">
        <v>1</v>
      </c>
      <c r="N134" s="120">
        <v>1.5</v>
      </c>
      <c r="O134" s="49">
        <v>1</v>
      </c>
      <c r="P134" s="121">
        <v>1</v>
      </c>
      <c r="Q134">
        <v>30</v>
      </c>
      <c r="R134" t="s">
        <v>87</v>
      </c>
    </row>
    <row r="135" spans="1:18" x14ac:dyDescent="0.2">
      <c r="A135" t="str">
        <f t="shared" si="2"/>
        <v>NVM15_40</v>
      </c>
      <c r="B135" s="120">
        <v>1.1000000000000001</v>
      </c>
      <c r="C135" s="47">
        <v>1</v>
      </c>
      <c r="D135" s="121">
        <v>1</v>
      </c>
      <c r="E135" s="120">
        <v>3.25</v>
      </c>
      <c r="F135" s="49">
        <v>1</v>
      </c>
      <c r="G135" s="121">
        <v>1</v>
      </c>
      <c r="H135" s="120">
        <v>1.25</v>
      </c>
      <c r="I135" s="49">
        <v>1</v>
      </c>
      <c r="J135" s="121">
        <v>1</v>
      </c>
      <c r="K135" s="120">
        <v>1.175</v>
      </c>
      <c r="L135" s="49">
        <v>1</v>
      </c>
      <c r="M135" s="121">
        <v>1</v>
      </c>
      <c r="N135" s="120">
        <v>1.25</v>
      </c>
      <c r="O135" s="49">
        <v>1</v>
      </c>
      <c r="P135" s="121">
        <v>1</v>
      </c>
      <c r="Q135">
        <v>40</v>
      </c>
      <c r="R135" t="s">
        <v>87</v>
      </c>
    </row>
    <row r="136" spans="1:18" x14ac:dyDescent="0.2">
      <c r="A136" t="str">
        <f t="shared" si="2"/>
        <v>NVM15_50</v>
      </c>
      <c r="B136" s="120">
        <v>1</v>
      </c>
      <c r="C136" s="47">
        <v>1</v>
      </c>
      <c r="D136" s="121">
        <v>1</v>
      </c>
      <c r="E136" s="120">
        <v>1</v>
      </c>
      <c r="F136" s="49">
        <v>1</v>
      </c>
      <c r="G136" s="121">
        <v>1</v>
      </c>
      <c r="H136" s="120">
        <v>1</v>
      </c>
      <c r="I136" s="49">
        <v>1</v>
      </c>
      <c r="J136" s="121">
        <v>1</v>
      </c>
      <c r="K136" s="120">
        <v>1</v>
      </c>
      <c r="L136" s="49">
        <v>1</v>
      </c>
      <c r="M136" s="121">
        <v>1</v>
      </c>
      <c r="N136" s="120">
        <v>1</v>
      </c>
      <c r="O136" s="49">
        <v>1</v>
      </c>
      <c r="P136" s="121">
        <v>1</v>
      </c>
      <c r="Q136">
        <v>50</v>
      </c>
      <c r="R136" t="s">
        <v>87</v>
      </c>
    </row>
    <row r="137" spans="1:18" x14ac:dyDescent="0.2">
      <c r="A137" t="str">
        <f t="shared" si="2"/>
        <v>NVM15_60</v>
      </c>
      <c r="B137" s="120">
        <v>0.94</v>
      </c>
      <c r="C137" s="47">
        <v>1</v>
      </c>
      <c r="D137" s="121">
        <v>1</v>
      </c>
      <c r="E137" s="120">
        <v>0.94</v>
      </c>
      <c r="F137" s="49">
        <v>1</v>
      </c>
      <c r="G137" s="121">
        <v>1</v>
      </c>
      <c r="H137" s="120">
        <v>0.94</v>
      </c>
      <c r="I137" s="49">
        <v>1</v>
      </c>
      <c r="J137" s="121">
        <v>1</v>
      </c>
      <c r="K137" s="120">
        <v>0.94</v>
      </c>
      <c r="L137" s="49">
        <v>1</v>
      </c>
      <c r="M137" s="121">
        <v>1</v>
      </c>
      <c r="N137" s="120">
        <v>0.94</v>
      </c>
      <c r="O137" s="49">
        <v>1</v>
      </c>
      <c r="P137" s="121">
        <v>1</v>
      </c>
      <c r="Q137">
        <v>60</v>
      </c>
      <c r="R137" t="s">
        <v>87</v>
      </c>
    </row>
    <row r="138" spans="1:18" x14ac:dyDescent="0.2">
      <c r="A138" t="str">
        <f t="shared" si="2"/>
        <v>NVM15_70</v>
      </c>
      <c r="B138" s="120">
        <v>0.88</v>
      </c>
      <c r="C138" s="47">
        <v>1</v>
      </c>
      <c r="D138" s="121">
        <v>1</v>
      </c>
      <c r="E138" s="120">
        <v>0.88</v>
      </c>
      <c r="F138" s="49">
        <v>1</v>
      </c>
      <c r="G138" s="121">
        <v>1</v>
      </c>
      <c r="H138" s="120">
        <v>0.88</v>
      </c>
      <c r="I138" s="49">
        <v>1</v>
      </c>
      <c r="J138" s="121">
        <v>1</v>
      </c>
      <c r="K138" s="120">
        <v>0.88</v>
      </c>
      <c r="L138" s="49">
        <v>1</v>
      </c>
      <c r="M138" s="121">
        <v>1</v>
      </c>
      <c r="N138" s="120">
        <v>0.88</v>
      </c>
      <c r="O138" s="49">
        <v>1</v>
      </c>
      <c r="P138" s="121">
        <v>1</v>
      </c>
      <c r="Q138">
        <v>70</v>
      </c>
      <c r="R138" t="s">
        <v>87</v>
      </c>
    </row>
    <row r="139" spans="1:18" x14ac:dyDescent="0.2">
      <c r="A139" t="str">
        <f t="shared" si="2"/>
        <v>NVM15_75</v>
      </c>
      <c r="B139" s="120">
        <v>0.85</v>
      </c>
      <c r="C139" s="47">
        <v>1</v>
      </c>
      <c r="D139" s="121">
        <v>1</v>
      </c>
      <c r="E139" s="120">
        <v>0.85</v>
      </c>
      <c r="F139" s="49">
        <v>1</v>
      </c>
      <c r="G139" s="121">
        <v>1</v>
      </c>
      <c r="H139" s="120">
        <v>0.85</v>
      </c>
      <c r="I139" s="49">
        <v>1</v>
      </c>
      <c r="J139" s="121">
        <v>1</v>
      </c>
      <c r="K139" s="120">
        <v>0.85</v>
      </c>
      <c r="L139" s="49">
        <v>1</v>
      </c>
      <c r="M139" s="121">
        <v>1</v>
      </c>
      <c r="N139" s="120">
        <v>0.85</v>
      </c>
      <c r="O139" s="49">
        <v>1</v>
      </c>
      <c r="P139" s="121">
        <v>1</v>
      </c>
      <c r="Q139">
        <v>75</v>
      </c>
      <c r="R139" t="s">
        <v>87</v>
      </c>
    </row>
    <row r="140" spans="1:18" x14ac:dyDescent="0.2">
      <c r="A140" t="str">
        <f t="shared" si="2"/>
        <v>NVM15_80</v>
      </c>
      <c r="B140" s="120">
        <v>0.82</v>
      </c>
      <c r="C140" s="47">
        <v>1</v>
      </c>
      <c r="D140" s="121">
        <v>1</v>
      </c>
      <c r="E140" s="120">
        <v>0.82</v>
      </c>
      <c r="F140" s="49">
        <v>1</v>
      </c>
      <c r="G140" s="121">
        <v>1</v>
      </c>
      <c r="H140" s="120">
        <v>0.82</v>
      </c>
      <c r="I140" s="49">
        <v>1</v>
      </c>
      <c r="J140" s="121">
        <v>1</v>
      </c>
      <c r="K140" s="120">
        <v>0.82</v>
      </c>
      <c r="L140" s="49">
        <v>1</v>
      </c>
      <c r="M140" s="121">
        <v>1</v>
      </c>
      <c r="N140" s="120">
        <v>0.82</v>
      </c>
      <c r="O140" s="49">
        <v>1</v>
      </c>
      <c r="P140" s="121">
        <v>1</v>
      </c>
      <c r="Q140">
        <v>80</v>
      </c>
      <c r="R140" t="s">
        <v>87</v>
      </c>
    </row>
    <row r="141" spans="1:18" x14ac:dyDescent="0.2">
      <c r="A141" t="str">
        <f t="shared" si="2"/>
        <v>NVM15_90</v>
      </c>
      <c r="B141" s="120">
        <v>0.76</v>
      </c>
      <c r="C141" s="47">
        <v>1</v>
      </c>
      <c r="D141" s="121">
        <v>1</v>
      </c>
      <c r="E141" s="120">
        <v>0.76</v>
      </c>
      <c r="F141" s="49">
        <v>1</v>
      </c>
      <c r="G141" s="121">
        <v>1</v>
      </c>
      <c r="H141" s="120">
        <v>0.76</v>
      </c>
      <c r="I141" s="49">
        <v>1</v>
      </c>
      <c r="J141" s="121">
        <v>1</v>
      </c>
      <c r="K141" s="120">
        <v>0.76</v>
      </c>
      <c r="L141" s="49">
        <v>1</v>
      </c>
      <c r="M141" s="121">
        <v>1</v>
      </c>
      <c r="N141" s="120">
        <v>0.76</v>
      </c>
      <c r="O141" s="49">
        <v>1</v>
      </c>
      <c r="P141" s="121">
        <v>1</v>
      </c>
      <c r="Q141">
        <v>90</v>
      </c>
      <c r="R141" t="s">
        <v>87</v>
      </c>
    </row>
    <row r="142" spans="1:18" x14ac:dyDescent="0.2">
      <c r="A142" t="str">
        <f t="shared" si="2"/>
        <v>NVM15_100</v>
      </c>
      <c r="B142" s="120">
        <v>0.7</v>
      </c>
      <c r="C142" s="47">
        <v>1</v>
      </c>
      <c r="D142" s="121">
        <v>1</v>
      </c>
      <c r="E142" s="120">
        <v>0.7</v>
      </c>
      <c r="F142" s="49">
        <v>1</v>
      </c>
      <c r="G142" s="121">
        <v>1</v>
      </c>
      <c r="H142" s="120">
        <v>0.7</v>
      </c>
      <c r="I142" s="49">
        <v>1</v>
      </c>
      <c r="J142" s="121">
        <v>1</v>
      </c>
      <c r="K142" s="120">
        <v>0.7</v>
      </c>
      <c r="L142" s="49">
        <v>1</v>
      </c>
      <c r="M142" s="121">
        <v>1</v>
      </c>
      <c r="N142" s="120">
        <v>0.7</v>
      </c>
      <c r="O142" s="49">
        <v>1</v>
      </c>
      <c r="P142" s="121">
        <v>1</v>
      </c>
      <c r="Q142">
        <v>100</v>
      </c>
      <c r="R142" t="s">
        <v>87</v>
      </c>
    </row>
    <row r="143" spans="1:18" x14ac:dyDescent="0.2">
      <c r="A143" t="str">
        <f t="shared" si="2"/>
        <v>NVM15_110</v>
      </c>
      <c r="B143" s="120">
        <v>0.7</v>
      </c>
      <c r="C143" s="49">
        <v>1</v>
      </c>
      <c r="D143" s="121">
        <v>0.875</v>
      </c>
      <c r="E143" s="120">
        <v>0.7</v>
      </c>
      <c r="F143" s="49">
        <v>1</v>
      </c>
      <c r="G143" s="121">
        <v>0.875</v>
      </c>
      <c r="H143" s="120">
        <v>0.7</v>
      </c>
      <c r="I143" s="49">
        <v>1</v>
      </c>
      <c r="J143" s="121">
        <v>0.875</v>
      </c>
      <c r="K143" s="120">
        <v>0.7</v>
      </c>
      <c r="L143" s="49">
        <v>1</v>
      </c>
      <c r="M143" s="121">
        <v>0.875</v>
      </c>
      <c r="N143" s="120">
        <v>0.7</v>
      </c>
      <c r="O143" s="49">
        <v>1</v>
      </c>
      <c r="P143" s="121">
        <v>0.75</v>
      </c>
      <c r="Q143" s="49">
        <v>110</v>
      </c>
      <c r="R143" t="s">
        <v>87</v>
      </c>
    </row>
    <row r="144" spans="1:18" x14ac:dyDescent="0.2">
      <c r="A144" t="str">
        <f t="shared" si="2"/>
        <v>NVM15_120</v>
      </c>
      <c r="B144" s="120">
        <v>0.7</v>
      </c>
      <c r="C144" s="49">
        <v>1</v>
      </c>
      <c r="D144" s="121">
        <v>0.75</v>
      </c>
      <c r="E144" s="120">
        <v>0.7</v>
      </c>
      <c r="F144" s="49">
        <v>1</v>
      </c>
      <c r="G144" s="121">
        <v>0.75</v>
      </c>
      <c r="H144" s="120">
        <v>0.7</v>
      </c>
      <c r="I144" s="49">
        <v>1</v>
      </c>
      <c r="J144" s="121">
        <v>0.75</v>
      </c>
      <c r="K144" s="120">
        <v>0.7</v>
      </c>
      <c r="L144" s="49">
        <v>1</v>
      </c>
      <c r="M144" s="121">
        <v>0.75</v>
      </c>
      <c r="N144" s="120">
        <v>0.7</v>
      </c>
      <c r="O144" s="49">
        <v>1</v>
      </c>
      <c r="P144" s="121">
        <v>0.5</v>
      </c>
      <c r="Q144" s="49">
        <v>120</v>
      </c>
      <c r="R144" t="s">
        <v>87</v>
      </c>
    </row>
    <row r="145" spans="1:18" x14ac:dyDescent="0.2">
      <c r="A145" t="str">
        <f t="shared" si="2"/>
        <v/>
      </c>
    </row>
    <row r="146" spans="1:18" x14ac:dyDescent="0.2">
      <c r="A146" t="str">
        <f t="shared" si="2"/>
        <v>NHA13_Typ4_10</v>
      </c>
      <c r="B146" s="120">
        <v>1.2</v>
      </c>
      <c r="C146" s="47">
        <v>1</v>
      </c>
      <c r="D146" s="121">
        <v>1</v>
      </c>
      <c r="E146" s="120">
        <v>5.5</v>
      </c>
      <c r="F146" s="47">
        <v>1</v>
      </c>
      <c r="G146" s="121">
        <v>1</v>
      </c>
      <c r="H146" s="120">
        <v>1.5</v>
      </c>
      <c r="I146" s="47">
        <v>1</v>
      </c>
      <c r="J146" s="121">
        <v>1</v>
      </c>
      <c r="K146" s="120">
        <v>1.35</v>
      </c>
      <c r="L146" s="47">
        <v>1</v>
      </c>
      <c r="M146" s="121">
        <v>1</v>
      </c>
      <c r="N146" s="120">
        <v>1.5</v>
      </c>
      <c r="O146" s="47">
        <v>1</v>
      </c>
      <c r="P146" s="121">
        <v>1</v>
      </c>
      <c r="Q146">
        <v>10</v>
      </c>
      <c r="R146" t="s">
        <v>88</v>
      </c>
    </row>
    <row r="147" spans="1:18" x14ac:dyDescent="0.2">
      <c r="A147" t="str">
        <f t="shared" si="2"/>
        <v>NHA13_Typ4_20</v>
      </c>
      <c r="B147" s="120">
        <v>1.1499999999999999</v>
      </c>
      <c r="C147" s="47">
        <v>1</v>
      </c>
      <c r="D147" s="121">
        <v>1</v>
      </c>
      <c r="E147" s="120">
        <v>4.38</v>
      </c>
      <c r="F147" s="47">
        <v>1</v>
      </c>
      <c r="G147" s="121">
        <v>1</v>
      </c>
      <c r="H147" s="120">
        <v>1.38</v>
      </c>
      <c r="I147" s="47">
        <v>1</v>
      </c>
      <c r="J147" s="121">
        <v>1</v>
      </c>
      <c r="K147" s="120">
        <v>1.26</v>
      </c>
      <c r="L147" s="47">
        <v>1</v>
      </c>
      <c r="M147" s="121">
        <v>1</v>
      </c>
      <c r="N147" s="120">
        <v>1.38</v>
      </c>
      <c r="O147" s="47">
        <v>1</v>
      </c>
      <c r="P147" s="121">
        <v>1</v>
      </c>
      <c r="Q147">
        <v>20</v>
      </c>
      <c r="R147" t="s">
        <v>88</v>
      </c>
    </row>
    <row r="148" spans="1:18" x14ac:dyDescent="0.2">
      <c r="A148" t="str">
        <f t="shared" si="2"/>
        <v>NHA13_Typ4_30</v>
      </c>
      <c r="B148" s="120">
        <v>1.1000000000000001</v>
      </c>
      <c r="C148" s="47">
        <v>1</v>
      </c>
      <c r="D148" s="121">
        <v>1</v>
      </c>
      <c r="E148" s="120">
        <v>3.25</v>
      </c>
      <c r="F148" s="47">
        <v>1</v>
      </c>
      <c r="G148" s="121">
        <v>1</v>
      </c>
      <c r="H148" s="120">
        <v>1.25</v>
      </c>
      <c r="I148" s="47">
        <v>1</v>
      </c>
      <c r="J148" s="121">
        <v>1</v>
      </c>
      <c r="K148" s="120">
        <v>1.18</v>
      </c>
      <c r="L148" s="47">
        <v>1</v>
      </c>
      <c r="M148" s="121">
        <v>1</v>
      </c>
      <c r="N148" s="120">
        <v>1.25</v>
      </c>
      <c r="O148" s="47">
        <v>1</v>
      </c>
      <c r="P148" s="121">
        <v>1</v>
      </c>
      <c r="Q148">
        <v>30</v>
      </c>
      <c r="R148" t="s">
        <v>88</v>
      </c>
    </row>
    <row r="149" spans="1:18" x14ac:dyDescent="0.2">
      <c r="A149" t="str">
        <f t="shared" si="2"/>
        <v>NHA13_Typ4_40</v>
      </c>
      <c r="B149" s="120">
        <v>1.05</v>
      </c>
      <c r="C149" s="47">
        <v>1</v>
      </c>
      <c r="D149" s="121">
        <v>1</v>
      </c>
      <c r="E149" s="120">
        <v>2.13</v>
      </c>
      <c r="F149" s="47">
        <v>1</v>
      </c>
      <c r="G149" s="121">
        <v>1</v>
      </c>
      <c r="H149" s="120">
        <v>1.1299999999999999</v>
      </c>
      <c r="I149" s="47">
        <v>1</v>
      </c>
      <c r="J149" s="121">
        <v>1</v>
      </c>
      <c r="K149" s="120">
        <v>1.01</v>
      </c>
      <c r="L149" s="47">
        <v>1</v>
      </c>
      <c r="M149" s="121">
        <v>1</v>
      </c>
      <c r="N149" s="120">
        <v>1.1299999999999999</v>
      </c>
      <c r="O149" s="47">
        <v>1</v>
      </c>
      <c r="P149" s="121">
        <v>1</v>
      </c>
      <c r="Q149">
        <v>40</v>
      </c>
      <c r="R149" t="s">
        <v>88</v>
      </c>
    </row>
    <row r="150" spans="1:18" x14ac:dyDescent="0.2">
      <c r="A150" t="str">
        <f t="shared" si="2"/>
        <v>NHA13_Typ4_50</v>
      </c>
      <c r="B150" s="120">
        <v>1</v>
      </c>
      <c r="C150" s="47">
        <v>1</v>
      </c>
      <c r="D150" s="121">
        <v>1</v>
      </c>
      <c r="E150" s="120">
        <v>1</v>
      </c>
      <c r="F150" s="47">
        <v>1</v>
      </c>
      <c r="G150" s="121">
        <v>1</v>
      </c>
      <c r="H150" s="120">
        <v>1</v>
      </c>
      <c r="I150" s="47">
        <v>1</v>
      </c>
      <c r="J150" s="121">
        <v>1</v>
      </c>
      <c r="K150" s="120">
        <v>1</v>
      </c>
      <c r="L150" s="47">
        <v>1</v>
      </c>
      <c r="M150" s="121">
        <v>1</v>
      </c>
      <c r="N150" s="120">
        <v>1</v>
      </c>
      <c r="O150" s="47">
        <v>1</v>
      </c>
      <c r="P150" s="121">
        <v>1</v>
      </c>
      <c r="Q150">
        <v>50</v>
      </c>
      <c r="R150" t="s">
        <v>88</v>
      </c>
    </row>
    <row r="151" spans="1:18" x14ac:dyDescent="0.2">
      <c r="A151" t="str">
        <f t="shared" si="2"/>
        <v>NHA13_Typ4_60</v>
      </c>
      <c r="B151" s="120">
        <v>0.94</v>
      </c>
      <c r="C151" s="47">
        <v>1</v>
      </c>
      <c r="D151" s="121">
        <v>1</v>
      </c>
      <c r="E151" s="120">
        <v>0.94</v>
      </c>
      <c r="F151" s="49">
        <v>1</v>
      </c>
      <c r="G151" s="121">
        <v>1</v>
      </c>
      <c r="H151" s="120">
        <v>0.94</v>
      </c>
      <c r="I151" s="49">
        <v>1</v>
      </c>
      <c r="J151" s="121">
        <v>1</v>
      </c>
      <c r="K151" s="120">
        <v>0.94</v>
      </c>
      <c r="L151" s="49">
        <v>1</v>
      </c>
      <c r="M151" s="121">
        <v>1</v>
      </c>
      <c r="N151" s="120">
        <v>0.94</v>
      </c>
      <c r="O151" s="49">
        <v>1</v>
      </c>
      <c r="P151" s="121">
        <v>1</v>
      </c>
      <c r="Q151">
        <v>60</v>
      </c>
      <c r="R151" t="s">
        <v>88</v>
      </c>
    </row>
    <row r="152" spans="1:18" x14ac:dyDescent="0.2">
      <c r="A152" t="str">
        <f t="shared" si="2"/>
        <v>NHA13_Typ4_70</v>
      </c>
      <c r="B152" s="120">
        <v>0.88</v>
      </c>
      <c r="C152" s="47">
        <v>1</v>
      </c>
      <c r="D152" s="121">
        <v>1</v>
      </c>
      <c r="E152" s="120">
        <v>0.88</v>
      </c>
      <c r="F152" s="49">
        <v>1</v>
      </c>
      <c r="G152" s="121">
        <v>1</v>
      </c>
      <c r="H152" s="120">
        <v>0.88</v>
      </c>
      <c r="I152" s="49">
        <v>1</v>
      </c>
      <c r="J152" s="121">
        <v>1</v>
      </c>
      <c r="K152" s="120">
        <v>0.88</v>
      </c>
      <c r="L152" s="49">
        <v>1</v>
      </c>
      <c r="M152" s="121">
        <v>1</v>
      </c>
      <c r="N152" s="120">
        <v>0.88</v>
      </c>
      <c r="O152" s="49">
        <v>1</v>
      </c>
      <c r="P152" s="121">
        <v>1</v>
      </c>
      <c r="Q152">
        <v>70</v>
      </c>
      <c r="R152" t="s">
        <v>88</v>
      </c>
    </row>
    <row r="153" spans="1:18" x14ac:dyDescent="0.2">
      <c r="A153" t="str">
        <f t="shared" si="2"/>
        <v>NHA13_Typ4_75</v>
      </c>
      <c r="B153" s="120">
        <v>0.85</v>
      </c>
      <c r="C153" s="47">
        <v>1</v>
      </c>
      <c r="D153" s="121">
        <v>1</v>
      </c>
      <c r="E153" s="120">
        <v>0.85</v>
      </c>
      <c r="F153" s="49">
        <v>1</v>
      </c>
      <c r="G153" s="121">
        <v>1</v>
      </c>
      <c r="H153" s="120">
        <v>0.85</v>
      </c>
      <c r="I153" s="49">
        <v>1</v>
      </c>
      <c r="J153" s="121">
        <v>1</v>
      </c>
      <c r="K153" s="120">
        <v>0.85</v>
      </c>
      <c r="L153" s="49">
        <v>1</v>
      </c>
      <c r="M153" s="121">
        <v>1</v>
      </c>
      <c r="N153" s="120">
        <v>0.85</v>
      </c>
      <c r="O153" s="49">
        <v>1</v>
      </c>
      <c r="P153" s="121">
        <v>1</v>
      </c>
      <c r="Q153">
        <v>75</v>
      </c>
      <c r="R153" t="s">
        <v>88</v>
      </c>
    </row>
    <row r="154" spans="1:18" x14ac:dyDescent="0.2">
      <c r="A154" t="str">
        <f t="shared" si="2"/>
        <v>NHA13_Typ4_80</v>
      </c>
      <c r="B154" s="120">
        <v>0.82</v>
      </c>
      <c r="C154" s="47">
        <v>1</v>
      </c>
      <c r="D154" s="121">
        <v>1</v>
      </c>
      <c r="E154" s="120">
        <v>0.82</v>
      </c>
      <c r="F154" s="49">
        <v>1</v>
      </c>
      <c r="G154" s="121">
        <v>1</v>
      </c>
      <c r="H154" s="120">
        <v>0.82</v>
      </c>
      <c r="I154" s="49">
        <v>1</v>
      </c>
      <c r="J154" s="121">
        <v>1</v>
      </c>
      <c r="K154" s="120">
        <v>0.82</v>
      </c>
      <c r="L154" s="49">
        <v>1</v>
      </c>
      <c r="M154" s="121">
        <v>1</v>
      </c>
      <c r="N154" s="120">
        <v>0.82</v>
      </c>
      <c r="O154" s="49">
        <v>1</v>
      </c>
      <c r="P154" s="121">
        <v>1</v>
      </c>
      <c r="Q154">
        <v>80</v>
      </c>
      <c r="R154" t="s">
        <v>88</v>
      </c>
    </row>
    <row r="155" spans="1:18" x14ac:dyDescent="0.2">
      <c r="A155" t="str">
        <f t="shared" si="2"/>
        <v>NHA13_Typ4_90</v>
      </c>
      <c r="B155" s="120">
        <v>0.76</v>
      </c>
      <c r="C155" s="47">
        <v>1</v>
      </c>
      <c r="D155" s="121">
        <v>1</v>
      </c>
      <c r="E155" s="120">
        <v>0.76</v>
      </c>
      <c r="F155" s="49">
        <v>1</v>
      </c>
      <c r="G155" s="121">
        <v>1</v>
      </c>
      <c r="H155" s="120">
        <v>0.76</v>
      </c>
      <c r="I155" s="49">
        <v>1</v>
      </c>
      <c r="J155" s="121">
        <v>1</v>
      </c>
      <c r="K155" s="120">
        <v>0.76</v>
      </c>
      <c r="L155" s="49">
        <v>1</v>
      </c>
      <c r="M155" s="121">
        <v>1</v>
      </c>
      <c r="N155" s="120">
        <v>0.76</v>
      </c>
      <c r="O155" s="49">
        <v>1</v>
      </c>
      <c r="P155" s="121">
        <v>1</v>
      </c>
      <c r="Q155">
        <v>90</v>
      </c>
      <c r="R155" t="s">
        <v>88</v>
      </c>
    </row>
    <row r="156" spans="1:18" x14ac:dyDescent="0.2">
      <c r="A156" t="str">
        <f t="shared" si="2"/>
        <v>NHA13_Typ4_100</v>
      </c>
      <c r="B156" s="120">
        <v>0.7</v>
      </c>
      <c r="C156" s="47">
        <v>1</v>
      </c>
      <c r="D156" s="121">
        <v>1</v>
      </c>
      <c r="E156" s="120">
        <v>0.7</v>
      </c>
      <c r="F156" s="49">
        <v>1</v>
      </c>
      <c r="G156" s="121">
        <v>1</v>
      </c>
      <c r="H156" s="120">
        <v>0.7</v>
      </c>
      <c r="I156" s="49">
        <v>1</v>
      </c>
      <c r="J156" s="121">
        <v>1</v>
      </c>
      <c r="K156" s="120">
        <v>0.7</v>
      </c>
      <c r="L156" s="49">
        <v>1</v>
      </c>
      <c r="M156" s="121">
        <v>1</v>
      </c>
      <c r="N156" s="120">
        <v>0.7</v>
      </c>
      <c r="O156" s="49">
        <v>1</v>
      </c>
      <c r="P156" s="121">
        <v>1</v>
      </c>
      <c r="Q156">
        <v>100</v>
      </c>
      <c r="R156" t="s">
        <v>88</v>
      </c>
    </row>
    <row r="157" spans="1:18" x14ac:dyDescent="0.2">
      <c r="A157" t="str">
        <f t="shared" si="2"/>
        <v/>
      </c>
    </row>
    <row r="158" spans="1:18" x14ac:dyDescent="0.2">
      <c r="A158" t="str">
        <f t="shared" si="2"/>
        <v>NHA12_Typ2_U_10</v>
      </c>
      <c r="B158" s="120">
        <v>1.2</v>
      </c>
      <c r="C158" s="47">
        <v>1</v>
      </c>
      <c r="D158" s="121">
        <v>1</v>
      </c>
      <c r="E158" s="120">
        <v>5.5</v>
      </c>
      <c r="F158" s="47">
        <v>1</v>
      </c>
      <c r="G158" s="121">
        <v>1</v>
      </c>
      <c r="H158" s="120">
        <v>1.5</v>
      </c>
      <c r="I158" s="47">
        <v>1</v>
      </c>
      <c r="J158" s="121">
        <v>1</v>
      </c>
      <c r="K158" s="120">
        <v>1.35</v>
      </c>
      <c r="L158" s="47">
        <v>1</v>
      </c>
      <c r="M158" s="121">
        <v>1</v>
      </c>
      <c r="N158" s="120">
        <v>1.5</v>
      </c>
      <c r="O158" s="47">
        <v>1</v>
      </c>
      <c r="P158" s="121">
        <v>1</v>
      </c>
      <c r="Q158">
        <v>10</v>
      </c>
      <c r="R158" t="s">
        <v>89</v>
      </c>
    </row>
    <row r="159" spans="1:18" x14ac:dyDescent="0.2">
      <c r="A159" t="str">
        <f t="shared" si="2"/>
        <v>NHA12_Typ2_U_20</v>
      </c>
      <c r="B159" s="120">
        <v>1.1499999999999999</v>
      </c>
      <c r="C159" s="47">
        <v>1</v>
      </c>
      <c r="D159" s="121">
        <v>1</v>
      </c>
      <c r="E159" s="120">
        <v>4.38</v>
      </c>
      <c r="F159" s="47">
        <v>1</v>
      </c>
      <c r="G159" s="121">
        <v>1</v>
      </c>
      <c r="H159" s="120">
        <v>1.38</v>
      </c>
      <c r="I159" s="47">
        <v>1</v>
      </c>
      <c r="J159" s="121">
        <v>1</v>
      </c>
      <c r="K159" s="120">
        <v>1.26</v>
      </c>
      <c r="L159" s="47">
        <v>1</v>
      </c>
      <c r="M159" s="121">
        <v>1</v>
      </c>
      <c r="N159" s="120">
        <v>1.38</v>
      </c>
      <c r="O159" s="47">
        <v>1</v>
      </c>
      <c r="P159" s="121">
        <v>1</v>
      </c>
      <c r="Q159">
        <v>20</v>
      </c>
      <c r="R159" t="s">
        <v>89</v>
      </c>
    </row>
    <row r="160" spans="1:18" x14ac:dyDescent="0.2">
      <c r="A160" t="str">
        <f t="shared" si="2"/>
        <v>NHA12_Typ2_U_30</v>
      </c>
      <c r="B160" s="120">
        <v>1.1000000000000001</v>
      </c>
      <c r="C160" s="47">
        <v>1</v>
      </c>
      <c r="D160" s="121">
        <v>1</v>
      </c>
      <c r="E160" s="120">
        <v>3.25</v>
      </c>
      <c r="F160" s="47">
        <v>1</v>
      </c>
      <c r="G160" s="121">
        <v>1</v>
      </c>
      <c r="H160" s="120">
        <v>1.25</v>
      </c>
      <c r="I160" s="47">
        <v>1</v>
      </c>
      <c r="J160" s="121">
        <v>1</v>
      </c>
      <c r="K160" s="120">
        <v>1.18</v>
      </c>
      <c r="L160" s="47">
        <v>1</v>
      </c>
      <c r="M160" s="121">
        <v>1</v>
      </c>
      <c r="N160" s="120">
        <v>1.25</v>
      </c>
      <c r="O160" s="47">
        <v>1</v>
      </c>
      <c r="P160" s="121">
        <v>1</v>
      </c>
      <c r="Q160">
        <v>30</v>
      </c>
      <c r="R160" t="s">
        <v>89</v>
      </c>
    </row>
    <row r="161" spans="1:18" x14ac:dyDescent="0.2">
      <c r="A161" t="str">
        <f t="shared" si="2"/>
        <v>NHA12_Typ2_U_40</v>
      </c>
      <c r="B161" s="120">
        <v>1.05</v>
      </c>
      <c r="C161" s="47">
        <v>1</v>
      </c>
      <c r="D161" s="121">
        <v>1</v>
      </c>
      <c r="E161" s="120">
        <v>2.13</v>
      </c>
      <c r="F161" s="47">
        <v>1</v>
      </c>
      <c r="G161" s="121">
        <v>1</v>
      </c>
      <c r="H161" s="120">
        <v>1.1299999999999999</v>
      </c>
      <c r="I161" s="47">
        <v>1</v>
      </c>
      <c r="J161" s="121">
        <v>1</v>
      </c>
      <c r="K161" s="120">
        <v>1.01</v>
      </c>
      <c r="L161" s="47">
        <v>1</v>
      </c>
      <c r="M161" s="121">
        <v>1</v>
      </c>
      <c r="N161" s="120">
        <v>1.1299999999999999</v>
      </c>
      <c r="O161" s="47">
        <v>1</v>
      </c>
      <c r="P161" s="121">
        <v>1</v>
      </c>
      <c r="Q161">
        <v>40</v>
      </c>
      <c r="R161" t="s">
        <v>89</v>
      </c>
    </row>
    <row r="162" spans="1:18" x14ac:dyDescent="0.2">
      <c r="A162" t="str">
        <f t="shared" si="2"/>
        <v>NHA12_Typ2_U_50</v>
      </c>
      <c r="B162" s="120">
        <v>1</v>
      </c>
      <c r="C162" s="47">
        <v>1</v>
      </c>
      <c r="D162" s="121">
        <v>1</v>
      </c>
      <c r="E162" s="120">
        <v>1</v>
      </c>
      <c r="F162" s="47">
        <v>1</v>
      </c>
      <c r="G162" s="121">
        <v>1</v>
      </c>
      <c r="H162" s="120">
        <v>1</v>
      </c>
      <c r="I162" s="47">
        <v>1</v>
      </c>
      <c r="J162" s="121">
        <v>1</v>
      </c>
      <c r="K162" s="120">
        <v>1</v>
      </c>
      <c r="L162" s="47">
        <v>1</v>
      </c>
      <c r="M162" s="121">
        <v>1</v>
      </c>
      <c r="N162" s="120">
        <v>1</v>
      </c>
      <c r="O162" s="47">
        <v>1</v>
      </c>
      <c r="P162" s="121">
        <v>1</v>
      </c>
      <c r="Q162">
        <v>50</v>
      </c>
      <c r="R162" t="s">
        <v>89</v>
      </c>
    </row>
    <row r="163" spans="1:18" x14ac:dyDescent="0.2">
      <c r="A163" t="str">
        <f t="shared" si="2"/>
        <v>NHA12_Typ2_U_60</v>
      </c>
      <c r="B163" s="120">
        <v>0.94</v>
      </c>
      <c r="C163" s="47">
        <v>1</v>
      </c>
      <c r="D163" s="121">
        <v>1</v>
      </c>
      <c r="E163" s="120">
        <v>0.94</v>
      </c>
      <c r="F163" s="49">
        <v>1</v>
      </c>
      <c r="G163" s="121">
        <v>1</v>
      </c>
      <c r="H163" s="120">
        <v>0.94</v>
      </c>
      <c r="I163" s="49">
        <v>1</v>
      </c>
      <c r="J163" s="121">
        <v>1</v>
      </c>
      <c r="K163" s="120">
        <v>0.94</v>
      </c>
      <c r="L163" s="49">
        <v>1</v>
      </c>
      <c r="M163" s="121">
        <v>1</v>
      </c>
      <c r="N163" s="120">
        <v>0.94</v>
      </c>
      <c r="O163" s="49">
        <v>1</v>
      </c>
      <c r="P163" s="121">
        <v>1</v>
      </c>
      <c r="Q163">
        <v>60</v>
      </c>
      <c r="R163" t="s">
        <v>89</v>
      </c>
    </row>
    <row r="164" spans="1:18" x14ac:dyDescent="0.2">
      <c r="A164" t="str">
        <f t="shared" si="2"/>
        <v>NHA12_Typ2_U_70</v>
      </c>
      <c r="B164" s="120">
        <v>0.88</v>
      </c>
      <c r="C164" s="47">
        <v>1</v>
      </c>
      <c r="D164" s="121">
        <v>1</v>
      </c>
      <c r="E164" s="120">
        <v>0.88</v>
      </c>
      <c r="F164" s="49">
        <v>1</v>
      </c>
      <c r="G164" s="121">
        <v>1</v>
      </c>
      <c r="H164" s="120">
        <v>0.88</v>
      </c>
      <c r="I164" s="49">
        <v>1</v>
      </c>
      <c r="J164" s="121">
        <v>1</v>
      </c>
      <c r="K164" s="120">
        <v>0.88</v>
      </c>
      <c r="L164" s="49">
        <v>1</v>
      </c>
      <c r="M164" s="121">
        <v>1</v>
      </c>
      <c r="N164" s="120">
        <v>0.88</v>
      </c>
      <c r="O164" s="49">
        <v>1</v>
      </c>
      <c r="P164" s="121">
        <v>1</v>
      </c>
      <c r="Q164">
        <v>70</v>
      </c>
      <c r="R164" t="s">
        <v>89</v>
      </c>
    </row>
    <row r="165" spans="1:18" x14ac:dyDescent="0.2">
      <c r="A165" t="str">
        <f t="shared" si="2"/>
        <v>NHA12_Typ2_U_75</v>
      </c>
      <c r="B165" s="120">
        <v>0.85</v>
      </c>
      <c r="C165" s="47">
        <v>1</v>
      </c>
      <c r="D165" s="121">
        <v>1</v>
      </c>
      <c r="E165" s="120">
        <v>0.85</v>
      </c>
      <c r="F165" s="49">
        <v>1</v>
      </c>
      <c r="G165" s="121">
        <v>1</v>
      </c>
      <c r="H165" s="120">
        <v>0.85</v>
      </c>
      <c r="I165" s="49">
        <v>1</v>
      </c>
      <c r="J165" s="121">
        <v>1</v>
      </c>
      <c r="K165" s="120">
        <v>0.85</v>
      </c>
      <c r="L165" s="49">
        <v>1</v>
      </c>
      <c r="M165" s="121">
        <v>1</v>
      </c>
      <c r="N165" s="120">
        <v>0.85</v>
      </c>
      <c r="O165" s="49">
        <v>1</v>
      </c>
      <c r="P165" s="121">
        <v>1</v>
      </c>
      <c r="Q165">
        <v>75</v>
      </c>
      <c r="R165" t="s">
        <v>89</v>
      </c>
    </row>
    <row r="166" spans="1:18" x14ac:dyDescent="0.2">
      <c r="A166" t="str">
        <f t="shared" si="2"/>
        <v>NHA12_Typ2_U_80</v>
      </c>
      <c r="B166" s="120">
        <v>0.82</v>
      </c>
      <c r="C166" s="47">
        <v>1</v>
      </c>
      <c r="D166" s="121">
        <v>1</v>
      </c>
      <c r="E166" s="120">
        <v>0.82</v>
      </c>
      <c r="F166" s="49">
        <v>1</v>
      </c>
      <c r="G166" s="121">
        <v>1</v>
      </c>
      <c r="H166" s="120">
        <v>0.82</v>
      </c>
      <c r="I166" s="49">
        <v>1</v>
      </c>
      <c r="J166" s="121">
        <v>1</v>
      </c>
      <c r="K166" s="120">
        <v>0.82</v>
      </c>
      <c r="L166" s="49">
        <v>1</v>
      </c>
      <c r="M166" s="121">
        <v>1</v>
      </c>
      <c r="N166" s="120">
        <v>0.82</v>
      </c>
      <c r="O166" s="49">
        <v>1</v>
      </c>
      <c r="P166" s="121">
        <v>1</v>
      </c>
      <c r="Q166">
        <v>80</v>
      </c>
      <c r="R166" t="s">
        <v>89</v>
      </c>
    </row>
    <row r="167" spans="1:18" x14ac:dyDescent="0.2">
      <c r="A167" t="str">
        <f t="shared" si="2"/>
        <v>NHA12_Typ2_U_90</v>
      </c>
      <c r="B167" s="120">
        <v>0.76</v>
      </c>
      <c r="C167" s="47">
        <v>1</v>
      </c>
      <c r="D167" s="121">
        <v>1</v>
      </c>
      <c r="E167" s="120">
        <v>0.76</v>
      </c>
      <c r="F167" s="49">
        <v>1</v>
      </c>
      <c r="G167" s="121">
        <v>1</v>
      </c>
      <c r="H167" s="120">
        <v>0.76</v>
      </c>
      <c r="I167" s="49">
        <v>1</v>
      </c>
      <c r="J167" s="121">
        <v>1</v>
      </c>
      <c r="K167" s="120">
        <v>0.76</v>
      </c>
      <c r="L167" s="49">
        <v>1</v>
      </c>
      <c r="M167" s="121">
        <v>1</v>
      </c>
      <c r="N167" s="120">
        <v>0.76</v>
      </c>
      <c r="O167" s="49">
        <v>1</v>
      </c>
      <c r="P167" s="121">
        <v>1</v>
      </c>
      <c r="Q167">
        <v>90</v>
      </c>
      <c r="R167" t="s">
        <v>89</v>
      </c>
    </row>
    <row r="168" spans="1:18" x14ac:dyDescent="0.2">
      <c r="A168" t="str">
        <f t="shared" si="2"/>
        <v>NHA12_Typ2_U_100</v>
      </c>
      <c r="B168" s="120">
        <v>0.7</v>
      </c>
      <c r="C168" s="47">
        <v>1</v>
      </c>
      <c r="D168" s="121">
        <v>1</v>
      </c>
      <c r="E168" s="120">
        <v>0.7</v>
      </c>
      <c r="F168" s="49">
        <v>1</v>
      </c>
      <c r="G168" s="121">
        <v>1</v>
      </c>
      <c r="H168" s="120">
        <v>0.7</v>
      </c>
      <c r="I168" s="49">
        <v>1</v>
      </c>
      <c r="J168" s="121">
        <v>1</v>
      </c>
      <c r="K168" s="120">
        <v>0.7</v>
      </c>
      <c r="L168" s="49">
        <v>1</v>
      </c>
      <c r="M168" s="121">
        <v>1</v>
      </c>
      <c r="N168" s="120">
        <v>0.7</v>
      </c>
      <c r="O168" s="49">
        <v>1</v>
      </c>
      <c r="P168" s="121">
        <v>1</v>
      </c>
      <c r="Q168">
        <v>100</v>
      </c>
      <c r="R168" t="s">
        <v>89</v>
      </c>
    </row>
    <row r="169" spans="1:18" x14ac:dyDescent="0.2">
      <c r="A169" t="str">
        <f t="shared" si="2"/>
        <v/>
      </c>
    </row>
    <row r="170" spans="1:18" x14ac:dyDescent="0.2">
      <c r="A170" t="str">
        <f t="shared" si="2"/>
        <v>NHA12_Typ1_U_10</v>
      </c>
      <c r="B170" s="120">
        <v>1.2</v>
      </c>
      <c r="C170" s="47">
        <v>1</v>
      </c>
      <c r="D170" s="121">
        <v>1</v>
      </c>
      <c r="E170" s="120">
        <v>5.5</v>
      </c>
      <c r="F170" s="47">
        <v>1</v>
      </c>
      <c r="G170" s="121">
        <v>1</v>
      </c>
      <c r="H170" s="120">
        <v>1.5</v>
      </c>
      <c r="I170" s="47">
        <v>1</v>
      </c>
      <c r="J170" s="121">
        <v>1</v>
      </c>
      <c r="K170" s="120">
        <v>1.35</v>
      </c>
      <c r="L170" s="47">
        <v>1</v>
      </c>
      <c r="M170" s="121">
        <v>1</v>
      </c>
      <c r="N170" s="120">
        <v>1.5</v>
      </c>
      <c r="O170" s="47">
        <v>1</v>
      </c>
      <c r="P170" s="121">
        <v>1</v>
      </c>
      <c r="Q170">
        <v>10</v>
      </c>
      <c r="R170" t="s">
        <v>90</v>
      </c>
    </row>
    <row r="171" spans="1:18" x14ac:dyDescent="0.2">
      <c r="A171" t="str">
        <f t="shared" si="2"/>
        <v>NHA12_Typ1_U_20</v>
      </c>
      <c r="B171" s="120">
        <v>1.1499999999999999</v>
      </c>
      <c r="C171" s="47">
        <v>1</v>
      </c>
      <c r="D171" s="121">
        <v>1</v>
      </c>
      <c r="E171" s="120">
        <v>4.38</v>
      </c>
      <c r="F171" s="47">
        <v>1</v>
      </c>
      <c r="G171" s="121">
        <v>1</v>
      </c>
      <c r="H171" s="120">
        <v>1.38</v>
      </c>
      <c r="I171" s="47">
        <v>1</v>
      </c>
      <c r="J171" s="121">
        <v>1</v>
      </c>
      <c r="K171" s="120">
        <v>1.26</v>
      </c>
      <c r="L171" s="47">
        <v>1</v>
      </c>
      <c r="M171" s="121">
        <v>1</v>
      </c>
      <c r="N171" s="120">
        <v>1.38</v>
      </c>
      <c r="O171" s="47">
        <v>1</v>
      </c>
      <c r="P171" s="121">
        <v>1</v>
      </c>
      <c r="Q171">
        <v>20</v>
      </c>
      <c r="R171" t="s">
        <v>90</v>
      </c>
    </row>
    <row r="172" spans="1:18" x14ac:dyDescent="0.2">
      <c r="A172" t="str">
        <f t="shared" si="2"/>
        <v>NHA12_Typ1_U_30</v>
      </c>
      <c r="B172" s="120">
        <v>1.1000000000000001</v>
      </c>
      <c r="C172" s="47">
        <v>1</v>
      </c>
      <c r="D172" s="121">
        <v>1</v>
      </c>
      <c r="E172" s="120">
        <v>3.25</v>
      </c>
      <c r="F172" s="47">
        <v>1</v>
      </c>
      <c r="G172" s="121">
        <v>1</v>
      </c>
      <c r="H172" s="120">
        <v>1.25</v>
      </c>
      <c r="I172" s="47">
        <v>1</v>
      </c>
      <c r="J172" s="121">
        <v>1</v>
      </c>
      <c r="K172" s="120">
        <v>1.18</v>
      </c>
      <c r="L172" s="47">
        <v>1</v>
      </c>
      <c r="M172" s="121">
        <v>1</v>
      </c>
      <c r="N172" s="120">
        <v>1.25</v>
      </c>
      <c r="O172" s="47">
        <v>1</v>
      </c>
      <c r="P172" s="121">
        <v>1</v>
      </c>
      <c r="Q172">
        <v>30</v>
      </c>
      <c r="R172" t="s">
        <v>90</v>
      </c>
    </row>
    <row r="173" spans="1:18" x14ac:dyDescent="0.2">
      <c r="A173" t="str">
        <f t="shared" si="2"/>
        <v>NHA12_Typ1_U_40</v>
      </c>
      <c r="B173" s="120">
        <v>1.05</v>
      </c>
      <c r="C173" s="47">
        <v>1</v>
      </c>
      <c r="D173" s="121">
        <v>1</v>
      </c>
      <c r="E173" s="120">
        <v>2.13</v>
      </c>
      <c r="F173" s="47">
        <v>1</v>
      </c>
      <c r="G173" s="121">
        <v>1</v>
      </c>
      <c r="H173" s="120">
        <v>1.1299999999999999</v>
      </c>
      <c r="I173" s="47">
        <v>1</v>
      </c>
      <c r="J173" s="121">
        <v>1</v>
      </c>
      <c r="K173" s="120">
        <v>1.01</v>
      </c>
      <c r="L173" s="47">
        <v>1</v>
      </c>
      <c r="M173" s="121">
        <v>1</v>
      </c>
      <c r="N173" s="120">
        <v>1.1299999999999999</v>
      </c>
      <c r="O173" s="47">
        <v>1</v>
      </c>
      <c r="P173" s="121">
        <v>1</v>
      </c>
      <c r="Q173">
        <v>40</v>
      </c>
      <c r="R173" t="s">
        <v>90</v>
      </c>
    </row>
    <row r="174" spans="1:18" x14ac:dyDescent="0.2">
      <c r="A174" t="str">
        <f t="shared" si="2"/>
        <v>NHA12_Typ1_U_50</v>
      </c>
      <c r="B174" s="120">
        <v>1</v>
      </c>
      <c r="C174" s="47">
        <v>1</v>
      </c>
      <c r="D174" s="121">
        <v>1</v>
      </c>
      <c r="E174" s="120">
        <v>1</v>
      </c>
      <c r="F174" s="47">
        <v>1</v>
      </c>
      <c r="G174" s="121">
        <v>1</v>
      </c>
      <c r="H174" s="120">
        <v>1</v>
      </c>
      <c r="I174" s="47">
        <v>1</v>
      </c>
      <c r="J174" s="121">
        <v>1</v>
      </c>
      <c r="K174" s="120">
        <v>1</v>
      </c>
      <c r="L174" s="47">
        <v>1</v>
      </c>
      <c r="M174" s="121">
        <v>1</v>
      </c>
      <c r="N174" s="120">
        <v>1</v>
      </c>
      <c r="O174" s="47">
        <v>1</v>
      </c>
      <c r="P174" s="121">
        <v>1</v>
      </c>
      <c r="Q174">
        <v>50</v>
      </c>
      <c r="R174" t="s">
        <v>90</v>
      </c>
    </row>
    <row r="175" spans="1:18" x14ac:dyDescent="0.2">
      <c r="A175" t="str">
        <f t="shared" si="2"/>
        <v>NHA12_Typ1_U_60</v>
      </c>
      <c r="B175" s="120">
        <v>0.94</v>
      </c>
      <c r="C175" s="47">
        <v>1</v>
      </c>
      <c r="D175" s="121">
        <v>1</v>
      </c>
      <c r="E175" s="120">
        <v>0.94</v>
      </c>
      <c r="F175" s="49">
        <v>1</v>
      </c>
      <c r="G175" s="121">
        <v>1</v>
      </c>
      <c r="H175" s="120">
        <v>0.94</v>
      </c>
      <c r="I175" s="49">
        <v>1</v>
      </c>
      <c r="J175" s="121">
        <v>1</v>
      </c>
      <c r="K175" s="120">
        <v>0.94</v>
      </c>
      <c r="L175" s="49">
        <v>1</v>
      </c>
      <c r="M175" s="121">
        <v>1</v>
      </c>
      <c r="N175" s="120">
        <v>0.94</v>
      </c>
      <c r="O175" s="49">
        <v>1</v>
      </c>
      <c r="P175" s="121">
        <v>1</v>
      </c>
      <c r="Q175">
        <v>60</v>
      </c>
      <c r="R175" t="s">
        <v>90</v>
      </c>
    </row>
    <row r="176" spans="1:18" x14ac:dyDescent="0.2">
      <c r="A176" t="str">
        <f t="shared" si="2"/>
        <v>NHA12_Typ1_U_70</v>
      </c>
      <c r="B176" s="120">
        <v>0.88</v>
      </c>
      <c r="C176" s="47">
        <v>1</v>
      </c>
      <c r="D176" s="121">
        <v>1</v>
      </c>
      <c r="E176" s="120">
        <v>0.88</v>
      </c>
      <c r="F176" s="49">
        <v>1</v>
      </c>
      <c r="G176" s="121">
        <v>1</v>
      </c>
      <c r="H176" s="120">
        <v>0.88</v>
      </c>
      <c r="I176" s="49">
        <v>1</v>
      </c>
      <c r="J176" s="121">
        <v>1</v>
      </c>
      <c r="K176" s="120">
        <v>0.88</v>
      </c>
      <c r="L176" s="49">
        <v>1</v>
      </c>
      <c r="M176" s="121">
        <v>1</v>
      </c>
      <c r="N176" s="120">
        <v>0.88</v>
      </c>
      <c r="O176" s="49">
        <v>1</v>
      </c>
      <c r="P176" s="121">
        <v>1</v>
      </c>
      <c r="Q176">
        <v>70</v>
      </c>
      <c r="R176" t="s">
        <v>90</v>
      </c>
    </row>
    <row r="177" spans="1:18" x14ac:dyDescent="0.2">
      <c r="A177" t="str">
        <f t="shared" si="2"/>
        <v>NHA12_Typ1_U_75</v>
      </c>
      <c r="B177" s="120">
        <v>0.85</v>
      </c>
      <c r="C177" s="47">
        <v>1</v>
      </c>
      <c r="D177" s="121">
        <v>1</v>
      </c>
      <c r="E177" s="120">
        <v>0.85</v>
      </c>
      <c r="F177" s="49">
        <v>1</v>
      </c>
      <c r="G177" s="121">
        <v>1</v>
      </c>
      <c r="H177" s="120">
        <v>0.85</v>
      </c>
      <c r="I177" s="49">
        <v>1</v>
      </c>
      <c r="J177" s="121">
        <v>1</v>
      </c>
      <c r="K177" s="120">
        <v>0.85</v>
      </c>
      <c r="L177" s="49">
        <v>1</v>
      </c>
      <c r="M177" s="121">
        <v>1</v>
      </c>
      <c r="N177" s="120">
        <v>0.85</v>
      </c>
      <c r="O177" s="49">
        <v>1</v>
      </c>
      <c r="P177" s="121">
        <v>1</v>
      </c>
      <c r="Q177">
        <v>75</v>
      </c>
      <c r="R177" t="s">
        <v>90</v>
      </c>
    </row>
    <row r="178" spans="1:18" x14ac:dyDescent="0.2">
      <c r="A178" t="str">
        <f t="shared" si="2"/>
        <v>NHA12_Typ1_U_80</v>
      </c>
      <c r="B178" s="120">
        <v>0.82</v>
      </c>
      <c r="C178" s="47">
        <v>1</v>
      </c>
      <c r="D178" s="121">
        <v>1</v>
      </c>
      <c r="E178" s="120">
        <v>0.82</v>
      </c>
      <c r="F178" s="49">
        <v>1</v>
      </c>
      <c r="G178" s="121">
        <v>1</v>
      </c>
      <c r="H178" s="120">
        <v>0.82</v>
      </c>
      <c r="I178" s="49">
        <v>1</v>
      </c>
      <c r="J178" s="121">
        <v>1</v>
      </c>
      <c r="K178" s="120">
        <v>0.82</v>
      </c>
      <c r="L178" s="49">
        <v>1</v>
      </c>
      <c r="M178" s="121">
        <v>1</v>
      </c>
      <c r="N178" s="120">
        <v>0.82</v>
      </c>
      <c r="O178" s="49">
        <v>1</v>
      </c>
      <c r="P178" s="121">
        <v>1</v>
      </c>
      <c r="Q178">
        <v>80</v>
      </c>
      <c r="R178" t="s">
        <v>90</v>
      </c>
    </row>
    <row r="179" spans="1:18" x14ac:dyDescent="0.2">
      <c r="A179" t="str">
        <f t="shared" si="2"/>
        <v>NHA12_Typ1_U_90</v>
      </c>
      <c r="B179" s="120">
        <v>0.76</v>
      </c>
      <c r="C179" s="47">
        <v>1</v>
      </c>
      <c r="D179" s="121">
        <v>1</v>
      </c>
      <c r="E179" s="120">
        <v>0.76</v>
      </c>
      <c r="F179" s="49">
        <v>1</v>
      </c>
      <c r="G179" s="121">
        <v>1</v>
      </c>
      <c r="H179" s="120">
        <v>0.76</v>
      </c>
      <c r="I179" s="49">
        <v>1</v>
      </c>
      <c r="J179" s="121">
        <v>1</v>
      </c>
      <c r="K179" s="120">
        <v>0.76</v>
      </c>
      <c r="L179" s="49">
        <v>1</v>
      </c>
      <c r="M179" s="121">
        <v>1</v>
      </c>
      <c r="N179" s="120">
        <v>0.76</v>
      </c>
      <c r="O179" s="49">
        <v>1</v>
      </c>
      <c r="P179" s="121">
        <v>1</v>
      </c>
      <c r="Q179">
        <v>90</v>
      </c>
      <c r="R179" t="s">
        <v>90</v>
      </c>
    </row>
    <row r="180" spans="1:18" x14ac:dyDescent="0.2">
      <c r="A180" t="str">
        <f t="shared" si="2"/>
        <v>NHA12_Typ1_U_100</v>
      </c>
      <c r="B180" s="120">
        <v>0.7</v>
      </c>
      <c r="C180" s="47">
        <v>1</v>
      </c>
      <c r="D180" s="121">
        <v>1</v>
      </c>
      <c r="E180" s="120">
        <v>0.7</v>
      </c>
      <c r="F180" s="49">
        <v>1</v>
      </c>
      <c r="G180" s="121">
        <v>1</v>
      </c>
      <c r="H180" s="120">
        <v>0.7</v>
      </c>
      <c r="I180" s="49">
        <v>1</v>
      </c>
      <c r="J180" s="121">
        <v>1</v>
      </c>
      <c r="K180" s="120">
        <v>0.7</v>
      </c>
      <c r="L180" s="49">
        <v>1</v>
      </c>
      <c r="M180" s="121">
        <v>1</v>
      </c>
      <c r="N180" s="120">
        <v>0.7</v>
      </c>
      <c r="O180" s="49">
        <v>1</v>
      </c>
      <c r="P180" s="121">
        <v>1</v>
      </c>
      <c r="Q180">
        <v>100</v>
      </c>
      <c r="R180" t="s">
        <v>90</v>
      </c>
    </row>
    <row r="181" spans="1:18" x14ac:dyDescent="0.2">
      <c r="A181" t="str">
        <f t="shared" si="2"/>
        <v/>
      </c>
    </row>
    <row r="182" spans="1:18" x14ac:dyDescent="0.2">
      <c r="A182" t="str">
        <f t="shared" si="2"/>
        <v>NLO15_10</v>
      </c>
      <c r="B182" s="120">
        <v>1.4</v>
      </c>
      <c r="C182" s="47">
        <v>1</v>
      </c>
      <c r="D182" s="121">
        <v>1</v>
      </c>
      <c r="E182" s="120">
        <v>10</v>
      </c>
      <c r="F182" s="49">
        <v>1</v>
      </c>
      <c r="G182" s="121">
        <v>1</v>
      </c>
      <c r="H182" s="120">
        <v>2</v>
      </c>
      <c r="I182" s="49">
        <v>1</v>
      </c>
      <c r="J182" s="121">
        <v>1</v>
      </c>
      <c r="K182" s="120">
        <v>1.7</v>
      </c>
      <c r="L182" s="49">
        <v>1</v>
      </c>
      <c r="M182" s="121">
        <v>1</v>
      </c>
      <c r="N182" s="120">
        <v>2</v>
      </c>
      <c r="O182" s="49">
        <v>1</v>
      </c>
      <c r="P182" s="121">
        <v>1</v>
      </c>
      <c r="Q182">
        <v>10</v>
      </c>
      <c r="R182" t="s">
        <v>72</v>
      </c>
    </row>
    <row r="183" spans="1:18" x14ac:dyDescent="0.2">
      <c r="A183" t="str">
        <f t="shared" si="2"/>
        <v>NLO15_20</v>
      </c>
      <c r="B183" s="120">
        <v>1.3</v>
      </c>
      <c r="C183" s="47">
        <v>1</v>
      </c>
      <c r="D183" s="121">
        <v>1</v>
      </c>
      <c r="E183" s="120">
        <v>7.75</v>
      </c>
      <c r="F183" s="49">
        <v>1</v>
      </c>
      <c r="G183" s="121">
        <v>1</v>
      </c>
      <c r="H183" s="120">
        <v>1.75</v>
      </c>
      <c r="I183" s="49">
        <v>1</v>
      </c>
      <c r="J183" s="121">
        <v>1</v>
      </c>
      <c r="K183" s="120">
        <v>1.5249999999999999</v>
      </c>
      <c r="L183" s="49">
        <v>1</v>
      </c>
      <c r="M183" s="121">
        <v>1</v>
      </c>
      <c r="N183" s="120">
        <v>1.75</v>
      </c>
      <c r="O183" s="49">
        <v>1</v>
      </c>
      <c r="P183" s="121">
        <v>1</v>
      </c>
      <c r="Q183">
        <v>20</v>
      </c>
      <c r="R183" t="s">
        <v>72</v>
      </c>
    </row>
    <row r="184" spans="1:18" x14ac:dyDescent="0.2">
      <c r="A184" t="str">
        <f t="shared" si="2"/>
        <v>NLO15_30</v>
      </c>
      <c r="B184" s="120">
        <v>1.2</v>
      </c>
      <c r="C184" s="47">
        <v>1</v>
      </c>
      <c r="D184" s="121">
        <v>1</v>
      </c>
      <c r="E184" s="120">
        <v>5.5</v>
      </c>
      <c r="F184" s="49">
        <v>1</v>
      </c>
      <c r="G184" s="121">
        <v>1</v>
      </c>
      <c r="H184" s="120">
        <v>1.5</v>
      </c>
      <c r="I184" s="49">
        <v>1</v>
      </c>
      <c r="J184" s="121">
        <v>1</v>
      </c>
      <c r="K184" s="120">
        <v>1.35</v>
      </c>
      <c r="L184" s="49">
        <v>1</v>
      </c>
      <c r="M184" s="121">
        <v>1</v>
      </c>
      <c r="N184" s="120">
        <v>1.5</v>
      </c>
      <c r="O184" s="49">
        <v>1</v>
      </c>
      <c r="P184" s="121">
        <v>1</v>
      </c>
      <c r="Q184">
        <v>30</v>
      </c>
      <c r="R184" t="s">
        <v>72</v>
      </c>
    </row>
    <row r="185" spans="1:18" x14ac:dyDescent="0.2">
      <c r="A185" t="str">
        <f t="shared" si="2"/>
        <v>NLO15_40</v>
      </c>
      <c r="B185" s="120">
        <v>1.1000000000000001</v>
      </c>
      <c r="C185" s="47">
        <v>1</v>
      </c>
      <c r="D185" s="121">
        <v>1</v>
      </c>
      <c r="E185" s="120">
        <v>3.25</v>
      </c>
      <c r="F185" s="49">
        <v>1</v>
      </c>
      <c r="G185" s="121">
        <v>1</v>
      </c>
      <c r="H185" s="120">
        <v>1.25</v>
      </c>
      <c r="I185" s="49">
        <v>1</v>
      </c>
      <c r="J185" s="121">
        <v>1</v>
      </c>
      <c r="K185" s="120">
        <v>1.175</v>
      </c>
      <c r="L185" s="49">
        <v>1</v>
      </c>
      <c r="M185" s="121">
        <v>1</v>
      </c>
      <c r="N185" s="120">
        <v>1.25</v>
      </c>
      <c r="O185" s="49">
        <v>1</v>
      </c>
      <c r="P185" s="121">
        <v>1</v>
      </c>
      <c r="Q185">
        <v>40</v>
      </c>
      <c r="R185" t="s">
        <v>72</v>
      </c>
    </row>
    <row r="186" spans="1:18" x14ac:dyDescent="0.2">
      <c r="A186" t="str">
        <f t="shared" si="2"/>
        <v>NLO15_50</v>
      </c>
      <c r="B186" s="120">
        <v>1</v>
      </c>
      <c r="C186" s="47">
        <v>1</v>
      </c>
      <c r="D186" s="121">
        <v>1</v>
      </c>
      <c r="E186" s="120">
        <v>1</v>
      </c>
      <c r="F186" s="49">
        <v>1</v>
      </c>
      <c r="G186" s="121">
        <v>1</v>
      </c>
      <c r="H186" s="120">
        <v>1</v>
      </c>
      <c r="I186" s="49">
        <v>1</v>
      </c>
      <c r="J186" s="121">
        <v>1</v>
      </c>
      <c r="K186" s="120">
        <v>1</v>
      </c>
      <c r="L186" s="49">
        <v>1</v>
      </c>
      <c r="M186" s="121">
        <v>1</v>
      </c>
      <c r="N186" s="120">
        <v>1</v>
      </c>
      <c r="O186" s="49">
        <v>1</v>
      </c>
      <c r="P186" s="121">
        <v>1</v>
      </c>
      <c r="Q186">
        <v>50</v>
      </c>
      <c r="R186" t="s">
        <v>72</v>
      </c>
    </row>
    <row r="187" spans="1:18" x14ac:dyDescent="0.2">
      <c r="A187" t="str">
        <f t="shared" si="2"/>
        <v>NLO15_60</v>
      </c>
      <c r="B187" s="120">
        <v>0.94</v>
      </c>
      <c r="C187" s="47">
        <v>1</v>
      </c>
      <c r="D187" s="121">
        <v>1</v>
      </c>
      <c r="E187" s="120">
        <v>0.94</v>
      </c>
      <c r="F187" s="49">
        <v>1</v>
      </c>
      <c r="G187" s="121">
        <v>1</v>
      </c>
      <c r="H187" s="120">
        <v>0.94</v>
      </c>
      <c r="I187" s="49">
        <v>1</v>
      </c>
      <c r="J187" s="121">
        <v>1</v>
      </c>
      <c r="K187" s="120">
        <v>0.94</v>
      </c>
      <c r="L187" s="49">
        <v>1</v>
      </c>
      <c r="M187" s="121">
        <v>1</v>
      </c>
      <c r="N187" s="120">
        <v>0.94</v>
      </c>
      <c r="O187" s="49">
        <v>1</v>
      </c>
      <c r="P187" s="121">
        <v>1</v>
      </c>
      <c r="Q187">
        <v>60</v>
      </c>
      <c r="R187" t="s">
        <v>72</v>
      </c>
    </row>
    <row r="188" spans="1:18" x14ac:dyDescent="0.2">
      <c r="A188" t="str">
        <f t="shared" si="2"/>
        <v>NLO15_70</v>
      </c>
      <c r="B188" s="120">
        <v>0.88</v>
      </c>
      <c r="C188" s="47">
        <v>1</v>
      </c>
      <c r="D188" s="121">
        <v>1</v>
      </c>
      <c r="E188" s="120">
        <v>0.88</v>
      </c>
      <c r="F188" s="49">
        <v>1</v>
      </c>
      <c r="G188" s="121">
        <v>1</v>
      </c>
      <c r="H188" s="120">
        <v>0.88</v>
      </c>
      <c r="I188" s="49">
        <v>1</v>
      </c>
      <c r="J188" s="121">
        <v>1</v>
      </c>
      <c r="K188" s="120">
        <v>0.88</v>
      </c>
      <c r="L188" s="49">
        <v>1</v>
      </c>
      <c r="M188" s="121">
        <v>1</v>
      </c>
      <c r="N188" s="120">
        <v>0.88</v>
      </c>
      <c r="O188" s="49">
        <v>1</v>
      </c>
      <c r="P188" s="121">
        <v>1</v>
      </c>
      <c r="Q188">
        <v>70</v>
      </c>
      <c r="R188" t="s">
        <v>72</v>
      </c>
    </row>
    <row r="189" spans="1:18" x14ac:dyDescent="0.2">
      <c r="A189" t="str">
        <f t="shared" si="2"/>
        <v>NLO15_75</v>
      </c>
      <c r="B189" s="120">
        <v>0.85</v>
      </c>
      <c r="C189" s="47">
        <v>1</v>
      </c>
      <c r="D189" s="121">
        <v>1</v>
      </c>
      <c r="E189" s="120">
        <v>0.85</v>
      </c>
      <c r="F189" s="49">
        <v>1</v>
      </c>
      <c r="G189" s="121">
        <v>1</v>
      </c>
      <c r="H189" s="120">
        <v>0.85</v>
      </c>
      <c r="I189" s="49">
        <v>1</v>
      </c>
      <c r="J189" s="121">
        <v>1</v>
      </c>
      <c r="K189" s="120">
        <v>0.85</v>
      </c>
      <c r="L189" s="49">
        <v>1</v>
      </c>
      <c r="M189" s="121">
        <v>1</v>
      </c>
      <c r="N189" s="120">
        <v>0.85</v>
      </c>
      <c r="O189" s="49">
        <v>1</v>
      </c>
      <c r="P189" s="121">
        <v>1</v>
      </c>
      <c r="Q189">
        <v>75</v>
      </c>
      <c r="R189" t="s">
        <v>72</v>
      </c>
    </row>
    <row r="190" spans="1:18" x14ac:dyDescent="0.2">
      <c r="A190" t="str">
        <f t="shared" si="2"/>
        <v>NLO15_80</v>
      </c>
      <c r="B190" s="120">
        <v>0.82</v>
      </c>
      <c r="C190" s="47">
        <v>1</v>
      </c>
      <c r="D190" s="121">
        <v>1</v>
      </c>
      <c r="E190" s="120">
        <v>0.82</v>
      </c>
      <c r="F190" s="49">
        <v>1</v>
      </c>
      <c r="G190" s="121">
        <v>1</v>
      </c>
      <c r="H190" s="120">
        <v>0.82</v>
      </c>
      <c r="I190" s="49">
        <v>1</v>
      </c>
      <c r="J190" s="121">
        <v>1</v>
      </c>
      <c r="K190" s="120">
        <v>0.82</v>
      </c>
      <c r="L190" s="49">
        <v>1</v>
      </c>
      <c r="M190" s="121">
        <v>1</v>
      </c>
      <c r="N190" s="120">
        <v>0.82</v>
      </c>
      <c r="O190" s="49">
        <v>1</v>
      </c>
      <c r="P190" s="121">
        <v>1</v>
      </c>
      <c r="Q190">
        <v>80</v>
      </c>
      <c r="R190" t="s">
        <v>72</v>
      </c>
    </row>
    <row r="191" spans="1:18" x14ac:dyDescent="0.2">
      <c r="A191" t="str">
        <f t="shared" si="2"/>
        <v>NLO15_90</v>
      </c>
      <c r="B191" s="120">
        <v>0.76</v>
      </c>
      <c r="C191" s="47">
        <v>1</v>
      </c>
      <c r="D191" s="121">
        <v>1</v>
      </c>
      <c r="E191" s="120">
        <v>0.76</v>
      </c>
      <c r="F191" s="49">
        <v>1</v>
      </c>
      <c r="G191" s="121">
        <v>1</v>
      </c>
      <c r="H191" s="120">
        <v>0.76</v>
      </c>
      <c r="I191" s="49">
        <v>1</v>
      </c>
      <c r="J191" s="121">
        <v>1</v>
      </c>
      <c r="K191" s="120">
        <v>0.76</v>
      </c>
      <c r="L191" s="49">
        <v>1</v>
      </c>
      <c r="M191" s="121">
        <v>1</v>
      </c>
      <c r="N191" s="120">
        <v>0.76</v>
      </c>
      <c r="O191" s="49">
        <v>1</v>
      </c>
      <c r="P191" s="121">
        <v>1</v>
      </c>
      <c r="Q191">
        <v>90</v>
      </c>
      <c r="R191" t="s">
        <v>72</v>
      </c>
    </row>
    <row r="192" spans="1:18" x14ac:dyDescent="0.2">
      <c r="A192" t="str">
        <f t="shared" si="2"/>
        <v>NLO15_100</v>
      </c>
      <c r="B192" s="120">
        <v>0.7</v>
      </c>
      <c r="C192" s="47">
        <v>1</v>
      </c>
      <c r="D192" s="121">
        <v>1</v>
      </c>
      <c r="E192" s="120">
        <v>0.7</v>
      </c>
      <c r="F192" s="49">
        <v>1</v>
      </c>
      <c r="G192" s="121">
        <v>1</v>
      </c>
      <c r="H192" s="120">
        <v>0.7</v>
      </c>
      <c r="I192" s="49">
        <v>1</v>
      </c>
      <c r="J192" s="121">
        <v>1</v>
      </c>
      <c r="K192" s="120">
        <v>0.7</v>
      </c>
      <c r="L192" s="49">
        <v>1</v>
      </c>
      <c r="M192" s="121">
        <v>1</v>
      </c>
      <c r="N192" s="120">
        <v>0.7</v>
      </c>
      <c r="O192" s="49">
        <v>1</v>
      </c>
      <c r="P192" s="121">
        <v>1</v>
      </c>
      <c r="Q192">
        <v>100</v>
      </c>
      <c r="R192" t="s">
        <v>72</v>
      </c>
    </row>
    <row r="193" spans="1:18" x14ac:dyDescent="0.2">
      <c r="A193" t="str">
        <f t="shared" si="2"/>
        <v>NLO15_110</v>
      </c>
      <c r="B193" s="120">
        <v>0.7</v>
      </c>
      <c r="C193" s="49">
        <v>1</v>
      </c>
      <c r="D193" s="121">
        <v>0.875</v>
      </c>
      <c r="E193" s="120">
        <v>0.7</v>
      </c>
      <c r="F193" s="49">
        <v>1</v>
      </c>
      <c r="G193" s="121">
        <v>0.875</v>
      </c>
      <c r="H193" s="120">
        <v>0.7</v>
      </c>
      <c r="I193" s="49">
        <v>1</v>
      </c>
      <c r="J193" s="121">
        <v>0.875</v>
      </c>
      <c r="K193" s="120">
        <v>0.7</v>
      </c>
      <c r="L193" s="49">
        <v>1</v>
      </c>
      <c r="M193" s="121">
        <v>0.875</v>
      </c>
      <c r="N193" s="120">
        <v>0.7</v>
      </c>
      <c r="O193" s="49">
        <v>1</v>
      </c>
      <c r="P193" s="121">
        <v>0.75</v>
      </c>
      <c r="Q193" s="49">
        <v>110</v>
      </c>
      <c r="R193" t="s">
        <v>72</v>
      </c>
    </row>
    <row r="194" spans="1:18" x14ac:dyDescent="0.2">
      <c r="A194" t="str">
        <f t="shared" si="2"/>
        <v>NLO15_120</v>
      </c>
      <c r="B194" s="120">
        <v>0.7</v>
      </c>
      <c r="C194" s="49">
        <v>1</v>
      </c>
      <c r="D194" s="121">
        <v>0.75</v>
      </c>
      <c r="E194" s="120">
        <v>0.7</v>
      </c>
      <c r="F194" s="49">
        <v>1</v>
      </c>
      <c r="G194" s="121">
        <v>0.75</v>
      </c>
      <c r="H194" s="120">
        <v>0.7</v>
      </c>
      <c r="I194" s="49">
        <v>1</v>
      </c>
      <c r="J194" s="121">
        <v>0.75</v>
      </c>
      <c r="K194" s="120">
        <v>0.7</v>
      </c>
      <c r="L194" s="49">
        <v>1</v>
      </c>
      <c r="M194" s="121">
        <v>0.75</v>
      </c>
      <c r="N194" s="120">
        <v>0.7</v>
      </c>
      <c r="O194" s="49">
        <v>1</v>
      </c>
      <c r="P194" s="121">
        <v>0.5</v>
      </c>
      <c r="Q194" s="49">
        <v>120</v>
      </c>
      <c r="R194" t="s">
        <v>72</v>
      </c>
    </row>
    <row r="195" spans="1:18" x14ac:dyDescent="0.2">
      <c r="A195" t="str">
        <f t="shared" ref="A195:A258" si="3">IF(R195="","",CONCATENATE(R195,"_",Q195))</f>
        <v/>
      </c>
    </row>
    <row r="196" spans="1:18" x14ac:dyDescent="0.2">
      <c r="A196" t="str">
        <f t="shared" si="3"/>
        <v>NPS15_10</v>
      </c>
      <c r="B196" s="120">
        <v>1.4</v>
      </c>
      <c r="C196" s="47">
        <v>1</v>
      </c>
      <c r="D196" s="121">
        <v>1</v>
      </c>
      <c r="E196" s="120">
        <v>10</v>
      </c>
      <c r="F196" s="49">
        <v>1</v>
      </c>
      <c r="G196" s="121">
        <v>1</v>
      </c>
      <c r="H196" s="120">
        <v>2</v>
      </c>
      <c r="I196" s="49">
        <v>1</v>
      </c>
      <c r="J196" s="121">
        <v>1</v>
      </c>
      <c r="K196" s="120">
        <v>1.7</v>
      </c>
      <c r="L196" s="49">
        <v>1</v>
      </c>
      <c r="M196" s="121">
        <v>1</v>
      </c>
      <c r="N196" s="120">
        <v>2</v>
      </c>
      <c r="O196" s="49">
        <v>1</v>
      </c>
      <c r="P196" s="121">
        <v>1</v>
      </c>
      <c r="Q196">
        <v>10</v>
      </c>
      <c r="R196" t="s">
        <v>73</v>
      </c>
    </row>
    <row r="197" spans="1:18" x14ac:dyDescent="0.2">
      <c r="A197" t="str">
        <f t="shared" si="3"/>
        <v>NPS15_20</v>
      </c>
      <c r="B197" s="120">
        <v>1.3</v>
      </c>
      <c r="C197" s="47">
        <v>1</v>
      </c>
      <c r="D197" s="121">
        <v>1</v>
      </c>
      <c r="E197" s="120">
        <v>7.75</v>
      </c>
      <c r="F197" s="49">
        <v>1</v>
      </c>
      <c r="G197" s="121">
        <v>1</v>
      </c>
      <c r="H197" s="120">
        <v>1.75</v>
      </c>
      <c r="I197" s="49">
        <v>1</v>
      </c>
      <c r="J197" s="121">
        <v>1</v>
      </c>
      <c r="K197" s="120">
        <v>1.5249999999999999</v>
      </c>
      <c r="L197" s="49">
        <v>1</v>
      </c>
      <c r="M197" s="121">
        <v>1</v>
      </c>
      <c r="N197" s="120">
        <v>1.75</v>
      </c>
      <c r="O197" s="49">
        <v>1</v>
      </c>
      <c r="P197" s="121">
        <v>1</v>
      </c>
      <c r="Q197">
        <v>20</v>
      </c>
      <c r="R197" t="s">
        <v>73</v>
      </c>
    </row>
    <row r="198" spans="1:18" x14ac:dyDescent="0.2">
      <c r="A198" t="str">
        <f t="shared" si="3"/>
        <v>NPS15_30</v>
      </c>
      <c r="B198" s="120">
        <v>1.2</v>
      </c>
      <c r="C198" s="47">
        <v>1</v>
      </c>
      <c r="D198" s="121">
        <v>1</v>
      </c>
      <c r="E198" s="120">
        <v>5.5</v>
      </c>
      <c r="F198" s="49">
        <v>1</v>
      </c>
      <c r="G198" s="121">
        <v>1</v>
      </c>
      <c r="H198" s="120">
        <v>1.5</v>
      </c>
      <c r="I198" s="49">
        <v>1</v>
      </c>
      <c r="J198" s="121">
        <v>1</v>
      </c>
      <c r="K198" s="120">
        <v>1.35</v>
      </c>
      <c r="L198" s="49">
        <v>1</v>
      </c>
      <c r="M198" s="121">
        <v>1</v>
      </c>
      <c r="N198" s="120">
        <v>1.5</v>
      </c>
      <c r="O198" s="49">
        <v>1</v>
      </c>
      <c r="P198" s="121">
        <v>1</v>
      </c>
      <c r="Q198">
        <v>30</v>
      </c>
      <c r="R198" t="s">
        <v>73</v>
      </c>
    </row>
    <row r="199" spans="1:18" x14ac:dyDescent="0.2">
      <c r="A199" t="str">
        <f t="shared" si="3"/>
        <v>NPS15_40</v>
      </c>
      <c r="B199" s="120">
        <v>1.1000000000000001</v>
      </c>
      <c r="C199" s="47">
        <v>1</v>
      </c>
      <c r="D199" s="121">
        <v>1</v>
      </c>
      <c r="E199" s="120">
        <v>3.25</v>
      </c>
      <c r="F199" s="49">
        <v>1</v>
      </c>
      <c r="G199" s="121">
        <v>1</v>
      </c>
      <c r="H199" s="120">
        <v>1.25</v>
      </c>
      <c r="I199" s="49">
        <v>1</v>
      </c>
      <c r="J199" s="121">
        <v>1</v>
      </c>
      <c r="K199" s="120">
        <v>1.175</v>
      </c>
      <c r="L199" s="49">
        <v>1</v>
      </c>
      <c r="M199" s="121">
        <v>1</v>
      </c>
      <c r="N199" s="120">
        <v>1.25</v>
      </c>
      <c r="O199" s="49">
        <v>1</v>
      </c>
      <c r="P199" s="121">
        <v>1</v>
      </c>
      <c r="Q199">
        <v>40</v>
      </c>
      <c r="R199" t="s">
        <v>73</v>
      </c>
    </row>
    <row r="200" spans="1:18" x14ac:dyDescent="0.2">
      <c r="A200" t="str">
        <f t="shared" si="3"/>
        <v>NPS15_50</v>
      </c>
      <c r="B200" s="120">
        <v>1</v>
      </c>
      <c r="C200" s="47">
        <v>1</v>
      </c>
      <c r="D200" s="121">
        <v>1</v>
      </c>
      <c r="E200" s="120">
        <v>1</v>
      </c>
      <c r="F200" s="49">
        <v>1</v>
      </c>
      <c r="G200" s="121">
        <v>1</v>
      </c>
      <c r="H200" s="120">
        <v>1</v>
      </c>
      <c r="I200" s="49">
        <v>1</v>
      </c>
      <c r="J200" s="121">
        <v>1</v>
      </c>
      <c r="K200" s="120">
        <v>1</v>
      </c>
      <c r="L200" s="49">
        <v>1</v>
      </c>
      <c r="M200" s="121">
        <v>1</v>
      </c>
      <c r="N200" s="120">
        <v>1</v>
      </c>
      <c r="O200" s="49">
        <v>1</v>
      </c>
      <c r="P200" s="121">
        <v>1</v>
      </c>
      <c r="Q200">
        <v>50</v>
      </c>
      <c r="R200" t="s">
        <v>73</v>
      </c>
    </row>
    <row r="201" spans="1:18" x14ac:dyDescent="0.2">
      <c r="A201" t="str">
        <f t="shared" si="3"/>
        <v>NPS15_60</v>
      </c>
      <c r="B201" s="120">
        <v>0.94</v>
      </c>
      <c r="C201" s="47">
        <v>1</v>
      </c>
      <c r="D201" s="121">
        <v>1</v>
      </c>
      <c r="E201" s="120">
        <v>0.94</v>
      </c>
      <c r="F201" s="49">
        <v>1</v>
      </c>
      <c r="G201" s="121">
        <v>1</v>
      </c>
      <c r="H201" s="120">
        <v>0.94</v>
      </c>
      <c r="I201" s="49">
        <v>1</v>
      </c>
      <c r="J201" s="121">
        <v>1</v>
      </c>
      <c r="K201" s="120">
        <v>0.94</v>
      </c>
      <c r="L201" s="49">
        <v>1</v>
      </c>
      <c r="M201" s="121">
        <v>1</v>
      </c>
      <c r="N201" s="120">
        <v>0.94</v>
      </c>
      <c r="O201" s="49">
        <v>1</v>
      </c>
      <c r="P201" s="121">
        <v>1</v>
      </c>
      <c r="Q201">
        <v>60</v>
      </c>
      <c r="R201" t="s">
        <v>73</v>
      </c>
    </row>
    <row r="202" spans="1:18" x14ac:dyDescent="0.2">
      <c r="A202" t="str">
        <f t="shared" si="3"/>
        <v>NPS15_70</v>
      </c>
      <c r="B202" s="120">
        <v>0.88</v>
      </c>
      <c r="C202" s="47">
        <v>1</v>
      </c>
      <c r="D202" s="121">
        <v>1</v>
      </c>
      <c r="E202" s="120">
        <v>0.88</v>
      </c>
      <c r="F202" s="49">
        <v>1</v>
      </c>
      <c r="G202" s="121">
        <v>1</v>
      </c>
      <c r="H202" s="120">
        <v>0.88</v>
      </c>
      <c r="I202" s="49">
        <v>1</v>
      </c>
      <c r="J202" s="121">
        <v>1</v>
      </c>
      <c r="K202" s="120">
        <v>0.88</v>
      </c>
      <c r="L202" s="49">
        <v>1</v>
      </c>
      <c r="M202" s="121">
        <v>1</v>
      </c>
      <c r="N202" s="120">
        <v>0.88</v>
      </c>
      <c r="O202" s="49">
        <v>1</v>
      </c>
      <c r="P202" s="121">
        <v>1</v>
      </c>
      <c r="Q202">
        <v>70</v>
      </c>
      <c r="R202" t="s">
        <v>73</v>
      </c>
    </row>
    <row r="203" spans="1:18" x14ac:dyDescent="0.2">
      <c r="A203" t="str">
        <f t="shared" si="3"/>
        <v>NPS15_75</v>
      </c>
      <c r="B203" s="120">
        <v>0.85</v>
      </c>
      <c r="C203" s="47">
        <v>1</v>
      </c>
      <c r="D203" s="121">
        <v>1</v>
      </c>
      <c r="E203" s="120">
        <v>0.85</v>
      </c>
      <c r="F203" s="49">
        <v>1</v>
      </c>
      <c r="G203" s="121">
        <v>1</v>
      </c>
      <c r="H203" s="120">
        <v>0.85</v>
      </c>
      <c r="I203" s="49">
        <v>1</v>
      </c>
      <c r="J203" s="121">
        <v>1</v>
      </c>
      <c r="K203" s="120">
        <v>0.85</v>
      </c>
      <c r="L203" s="49">
        <v>1</v>
      </c>
      <c r="M203" s="121">
        <v>1</v>
      </c>
      <c r="N203" s="120">
        <v>0.85</v>
      </c>
      <c r="O203" s="49">
        <v>1</v>
      </c>
      <c r="P203" s="121">
        <v>1</v>
      </c>
      <c r="Q203">
        <v>75</v>
      </c>
      <c r="R203" t="s">
        <v>73</v>
      </c>
    </row>
    <row r="204" spans="1:18" x14ac:dyDescent="0.2">
      <c r="A204" t="str">
        <f t="shared" si="3"/>
        <v>NPS15_80</v>
      </c>
      <c r="B204" s="120">
        <v>0.82</v>
      </c>
      <c r="C204" s="47">
        <v>1</v>
      </c>
      <c r="D204" s="121">
        <v>1</v>
      </c>
      <c r="E204" s="120">
        <v>0.82</v>
      </c>
      <c r="F204" s="49">
        <v>1</v>
      </c>
      <c r="G204" s="121">
        <v>1</v>
      </c>
      <c r="H204" s="120">
        <v>0.82</v>
      </c>
      <c r="I204" s="49">
        <v>1</v>
      </c>
      <c r="J204" s="121">
        <v>1</v>
      </c>
      <c r="K204" s="120">
        <v>0.82</v>
      </c>
      <c r="L204" s="49">
        <v>1</v>
      </c>
      <c r="M204" s="121">
        <v>1</v>
      </c>
      <c r="N204" s="120">
        <v>0.82</v>
      </c>
      <c r="O204" s="49">
        <v>1</v>
      </c>
      <c r="P204" s="121">
        <v>1</v>
      </c>
      <c r="Q204">
        <v>80</v>
      </c>
      <c r="R204" t="s">
        <v>73</v>
      </c>
    </row>
    <row r="205" spans="1:18" x14ac:dyDescent="0.2">
      <c r="A205" t="str">
        <f t="shared" si="3"/>
        <v>NPS15_90</v>
      </c>
      <c r="B205" s="120">
        <v>0.76</v>
      </c>
      <c r="C205" s="47">
        <v>1</v>
      </c>
      <c r="D205" s="121">
        <v>1</v>
      </c>
      <c r="E205" s="120">
        <v>0.76</v>
      </c>
      <c r="F205" s="49">
        <v>1</v>
      </c>
      <c r="G205" s="121">
        <v>1</v>
      </c>
      <c r="H205" s="120">
        <v>0.76</v>
      </c>
      <c r="I205" s="49">
        <v>1</v>
      </c>
      <c r="J205" s="121">
        <v>1</v>
      </c>
      <c r="K205" s="120">
        <v>0.76</v>
      </c>
      <c r="L205" s="49">
        <v>1</v>
      </c>
      <c r="M205" s="121">
        <v>1</v>
      </c>
      <c r="N205" s="120">
        <v>0.76</v>
      </c>
      <c r="O205" s="49">
        <v>1</v>
      </c>
      <c r="P205" s="121">
        <v>1</v>
      </c>
      <c r="Q205">
        <v>90</v>
      </c>
      <c r="R205" t="s">
        <v>73</v>
      </c>
    </row>
    <row r="206" spans="1:18" x14ac:dyDescent="0.2">
      <c r="A206" t="str">
        <f t="shared" si="3"/>
        <v>NPS15_100</v>
      </c>
      <c r="B206" s="120">
        <v>0.7</v>
      </c>
      <c r="C206" s="47">
        <v>1</v>
      </c>
      <c r="D206" s="121">
        <v>1</v>
      </c>
      <c r="E206" s="120">
        <v>0.7</v>
      </c>
      <c r="F206" s="49">
        <v>1</v>
      </c>
      <c r="G206" s="121">
        <v>1</v>
      </c>
      <c r="H206" s="120">
        <v>0.7</v>
      </c>
      <c r="I206" s="49">
        <v>1</v>
      </c>
      <c r="J206" s="121">
        <v>1</v>
      </c>
      <c r="K206" s="120">
        <v>0.7</v>
      </c>
      <c r="L206" s="49">
        <v>1</v>
      </c>
      <c r="M206" s="121">
        <v>1</v>
      </c>
      <c r="N206" s="120">
        <v>0.7</v>
      </c>
      <c r="O206" s="49">
        <v>1</v>
      </c>
      <c r="P206" s="121">
        <v>1</v>
      </c>
      <c r="Q206">
        <v>100</v>
      </c>
      <c r="R206" t="s">
        <v>73</v>
      </c>
    </row>
    <row r="207" spans="1:18" x14ac:dyDescent="0.2">
      <c r="A207" t="str">
        <f t="shared" si="3"/>
        <v>NPS15_110</v>
      </c>
      <c r="B207" s="120">
        <v>0.7</v>
      </c>
      <c r="C207" s="49">
        <v>1</v>
      </c>
      <c r="D207" s="121">
        <v>0.875</v>
      </c>
      <c r="E207" s="120">
        <v>0.7</v>
      </c>
      <c r="F207" s="49">
        <v>1</v>
      </c>
      <c r="G207" s="121">
        <v>0.875</v>
      </c>
      <c r="H207" s="120">
        <v>0.7</v>
      </c>
      <c r="I207" s="49">
        <v>1</v>
      </c>
      <c r="J207" s="121">
        <v>0.875</v>
      </c>
      <c r="K207" s="120">
        <v>0.7</v>
      </c>
      <c r="L207" s="49">
        <v>1</v>
      </c>
      <c r="M207" s="121">
        <v>0.875</v>
      </c>
      <c r="N207" s="120">
        <v>0.7</v>
      </c>
      <c r="O207" s="49">
        <v>1</v>
      </c>
      <c r="P207" s="121">
        <v>0.75</v>
      </c>
      <c r="Q207" s="49">
        <v>110</v>
      </c>
      <c r="R207" t="s">
        <v>73</v>
      </c>
    </row>
    <row r="208" spans="1:18" x14ac:dyDescent="0.2">
      <c r="A208" t="str">
        <f t="shared" si="3"/>
        <v>NPS15_120</v>
      </c>
      <c r="B208" s="120">
        <v>0.7</v>
      </c>
      <c r="C208" s="49">
        <v>1</v>
      </c>
      <c r="D208" s="121">
        <v>0.75</v>
      </c>
      <c r="E208" s="120">
        <v>0.7</v>
      </c>
      <c r="F208" s="49">
        <v>1</v>
      </c>
      <c r="G208" s="121">
        <v>0.75</v>
      </c>
      <c r="H208" s="120">
        <v>0.7</v>
      </c>
      <c r="I208" s="49">
        <v>1</v>
      </c>
      <c r="J208" s="121">
        <v>0.75</v>
      </c>
      <c r="K208" s="120">
        <v>0.7</v>
      </c>
      <c r="L208" s="49">
        <v>1</v>
      </c>
      <c r="M208" s="121">
        <v>0.75</v>
      </c>
      <c r="N208" s="120">
        <v>0.7</v>
      </c>
      <c r="O208" s="49">
        <v>1</v>
      </c>
      <c r="P208" s="121">
        <v>0.5</v>
      </c>
      <c r="Q208" s="49">
        <v>120</v>
      </c>
      <c r="R208" t="s">
        <v>73</v>
      </c>
    </row>
    <row r="209" spans="1:18" x14ac:dyDescent="0.2">
      <c r="A209" t="str">
        <f t="shared" si="3"/>
        <v/>
      </c>
    </row>
    <row r="210" spans="1:18" x14ac:dyDescent="0.2">
      <c r="A210" t="str">
        <f t="shared" si="3"/>
        <v>NIN12_Typ1_U_10</v>
      </c>
      <c r="B210" s="120">
        <v>1.4</v>
      </c>
      <c r="C210" s="47">
        <v>1</v>
      </c>
      <c r="D210" s="121">
        <v>1</v>
      </c>
      <c r="E210" s="120">
        <v>10</v>
      </c>
      <c r="F210" s="49">
        <v>1</v>
      </c>
      <c r="G210" s="121">
        <v>1</v>
      </c>
      <c r="H210" s="120">
        <v>2</v>
      </c>
      <c r="I210" s="49">
        <v>1</v>
      </c>
      <c r="J210" s="121">
        <v>1</v>
      </c>
      <c r="K210" s="120">
        <v>1.7</v>
      </c>
      <c r="L210" s="49">
        <v>1</v>
      </c>
      <c r="M210" s="121">
        <v>1</v>
      </c>
      <c r="N210" s="120">
        <v>2</v>
      </c>
      <c r="O210" s="49">
        <v>1</v>
      </c>
      <c r="P210" s="121">
        <v>1</v>
      </c>
      <c r="Q210">
        <v>10</v>
      </c>
      <c r="R210" t="s">
        <v>75</v>
      </c>
    </row>
    <row r="211" spans="1:18" x14ac:dyDescent="0.2">
      <c r="A211" t="str">
        <f t="shared" si="3"/>
        <v>NIN12_Typ1_U_20</v>
      </c>
      <c r="B211" s="120">
        <v>1.3</v>
      </c>
      <c r="C211" s="47">
        <v>1</v>
      </c>
      <c r="D211" s="121">
        <v>1</v>
      </c>
      <c r="E211" s="120">
        <v>7.75</v>
      </c>
      <c r="F211" s="49">
        <v>1</v>
      </c>
      <c r="G211" s="121">
        <v>1</v>
      </c>
      <c r="H211" s="120">
        <v>1.75</v>
      </c>
      <c r="I211" s="49">
        <v>1</v>
      </c>
      <c r="J211" s="121">
        <v>1</v>
      </c>
      <c r="K211" s="120">
        <v>1.5249999999999999</v>
      </c>
      <c r="L211" s="49">
        <v>1</v>
      </c>
      <c r="M211" s="121">
        <v>1</v>
      </c>
      <c r="N211" s="120">
        <v>1.75</v>
      </c>
      <c r="O211" s="49">
        <v>1</v>
      </c>
      <c r="P211" s="121">
        <v>1</v>
      </c>
      <c r="Q211">
        <v>20</v>
      </c>
      <c r="R211" t="s">
        <v>75</v>
      </c>
    </row>
    <row r="212" spans="1:18" x14ac:dyDescent="0.2">
      <c r="A212" t="str">
        <f t="shared" si="3"/>
        <v>NIN12_Typ1_U_30</v>
      </c>
      <c r="B212" s="120">
        <v>1.2</v>
      </c>
      <c r="C212" s="47">
        <v>1</v>
      </c>
      <c r="D212" s="121">
        <v>1</v>
      </c>
      <c r="E212" s="120">
        <v>5.5</v>
      </c>
      <c r="F212" s="49">
        <v>1</v>
      </c>
      <c r="G212" s="121">
        <v>1</v>
      </c>
      <c r="H212" s="120">
        <v>1.5</v>
      </c>
      <c r="I212" s="49">
        <v>1</v>
      </c>
      <c r="J212" s="121">
        <v>1</v>
      </c>
      <c r="K212" s="120">
        <v>1.35</v>
      </c>
      <c r="L212" s="49">
        <v>1</v>
      </c>
      <c r="M212" s="121">
        <v>1</v>
      </c>
      <c r="N212" s="120">
        <v>1.5</v>
      </c>
      <c r="O212" s="49">
        <v>1</v>
      </c>
      <c r="P212" s="121">
        <v>1</v>
      </c>
      <c r="Q212">
        <v>30</v>
      </c>
      <c r="R212" t="s">
        <v>75</v>
      </c>
    </row>
    <row r="213" spans="1:18" x14ac:dyDescent="0.2">
      <c r="A213" t="str">
        <f t="shared" si="3"/>
        <v>NIN12_Typ1_U_40</v>
      </c>
      <c r="B213" s="120">
        <v>1.1000000000000001</v>
      </c>
      <c r="C213" s="47">
        <v>1</v>
      </c>
      <c r="D213" s="121">
        <v>1</v>
      </c>
      <c r="E213" s="120">
        <v>3.25</v>
      </c>
      <c r="F213" s="49">
        <v>1</v>
      </c>
      <c r="G213" s="121">
        <v>1</v>
      </c>
      <c r="H213" s="120">
        <v>1.25</v>
      </c>
      <c r="I213" s="49">
        <v>1</v>
      </c>
      <c r="J213" s="121">
        <v>1</v>
      </c>
      <c r="K213" s="120">
        <v>1.175</v>
      </c>
      <c r="L213" s="49">
        <v>1</v>
      </c>
      <c r="M213" s="121">
        <v>1</v>
      </c>
      <c r="N213" s="120">
        <v>1.25</v>
      </c>
      <c r="O213" s="49">
        <v>1</v>
      </c>
      <c r="P213" s="121">
        <v>1</v>
      </c>
      <c r="Q213">
        <v>40</v>
      </c>
      <c r="R213" t="s">
        <v>75</v>
      </c>
    </row>
    <row r="214" spans="1:18" x14ac:dyDescent="0.2">
      <c r="A214" t="str">
        <f t="shared" si="3"/>
        <v>NIN12_Typ1_U_50</v>
      </c>
      <c r="B214" s="120">
        <v>1</v>
      </c>
      <c r="C214" s="47">
        <v>1</v>
      </c>
      <c r="D214" s="121">
        <v>1</v>
      </c>
      <c r="E214" s="120">
        <v>1</v>
      </c>
      <c r="F214" s="49">
        <v>1</v>
      </c>
      <c r="G214" s="121">
        <v>1</v>
      </c>
      <c r="H214" s="120">
        <v>1</v>
      </c>
      <c r="I214" s="49">
        <v>1</v>
      </c>
      <c r="J214" s="121">
        <v>1</v>
      </c>
      <c r="K214" s="120">
        <v>1</v>
      </c>
      <c r="L214" s="49">
        <v>1</v>
      </c>
      <c r="M214" s="121">
        <v>1</v>
      </c>
      <c r="N214" s="120">
        <v>1</v>
      </c>
      <c r="O214" s="49">
        <v>1</v>
      </c>
      <c r="P214" s="121">
        <v>1</v>
      </c>
      <c r="Q214">
        <v>50</v>
      </c>
      <c r="R214" t="s">
        <v>75</v>
      </c>
    </row>
    <row r="215" spans="1:18" x14ac:dyDescent="0.2">
      <c r="A215" t="str">
        <f t="shared" si="3"/>
        <v>NIN12_Typ1_U_60</v>
      </c>
      <c r="B215" s="120">
        <v>0.94</v>
      </c>
      <c r="C215" s="47">
        <v>1</v>
      </c>
      <c r="D215" s="121">
        <v>1</v>
      </c>
      <c r="E215" s="120">
        <v>0.94</v>
      </c>
      <c r="F215" s="49">
        <v>1</v>
      </c>
      <c r="G215" s="121">
        <v>1</v>
      </c>
      <c r="H215" s="120">
        <v>0.94</v>
      </c>
      <c r="I215" s="49">
        <v>1</v>
      </c>
      <c r="J215" s="121">
        <v>1</v>
      </c>
      <c r="K215" s="120">
        <v>0.94</v>
      </c>
      <c r="L215" s="49">
        <v>1</v>
      </c>
      <c r="M215" s="121">
        <v>1</v>
      </c>
      <c r="N215" s="120">
        <v>0.94</v>
      </c>
      <c r="O215" s="49">
        <v>1</v>
      </c>
      <c r="P215" s="121">
        <v>1</v>
      </c>
      <c r="Q215">
        <v>60</v>
      </c>
      <c r="R215" t="s">
        <v>75</v>
      </c>
    </row>
    <row r="216" spans="1:18" x14ac:dyDescent="0.2">
      <c r="A216" t="str">
        <f t="shared" si="3"/>
        <v>NIN12_Typ1_U_70</v>
      </c>
      <c r="B216" s="120">
        <v>0.88</v>
      </c>
      <c r="C216" s="47">
        <v>1</v>
      </c>
      <c r="D216" s="121">
        <v>1</v>
      </c>
      <c r="E216" s="120">
        <v>0.88</v>
      </c>
      <c r="F216" s="49">
        <v>1</v>
      </c>
      <c r="G216" s="121">
        <v>1</v>
      </c>
      <c r="H216" s="120">
        <v>0.88</v>
      </c>
      <c r="I216" s="49">
        <v>1</v>
      </c>
      <c r="J216" s="121">
        <v>1</v>
      </c>
      <c r="K216" s="120">
        <v>0.88</v>
      </c>
      <c r="L216" s="49">
        <v>1</v>
      </c>
      <c r="M216" s="121">
        <v>1</v>
      </c>
      <c r="N216" s="120">
        <v>0.88</v>
      </c>
      <c r="O216" s="49">
        <v>1</v>
      </c>
      <c r="P216" s="121">
        <v>1</v>
      </c>
      <c r="Q216">
        <v>70</v>
      </c>
      <c r="R216" t="s">
        <v>75</v>
      </c>
    </row>
    <row r="217" spans="1:18" x14ac:dyDescent="0.2">
      <c r="A217" t="str">
        <f t="shared" si="3"/>
        <v>NIN12_Typ1_U_75</v>
      </c>
      <c r="B217" s="120">
        <v>0.85</v>
      </c>
      <c r="C217" s="47">
        <v>1</v>
      </c>
      <c r="D217" s="121">
        <v>1</v>
      </c>
      <c r="E217" s="120">
        <v>0.85</v>
      </c>
      <c r="F217" s="49">
        <v>1</v>
      </c>
      <c r="G217" s="121">
        <v>1</v>
      </c>
      <c r="H217" s="120">
        <v>0.85</v>
      </c>
      <c r="I217" s="49">
        <v>1</v>
      </c>
      <c r="J217" s="121">
        <v>1</v>
      </c>
      <c r="K217" s="120">
        <v>0.85</v>
      </c>
      <c r="L217" s="49">
        <v>1</v>
      </c>
      <c r="M217" s="121">
        <v>1</v>
      </c>
      <c r="N217" s="120">
        <v>0.85</v>
      </c>
      <c r="O217" s="49">
        <v>1</v>
      </c>
      <c r="P217" s="121">
        <v>1</v>
      </c>
      <c r="Q217">
        <v>75</v>
      </c>
      <c r="R217" t="s">
        <v>75</v>
      </c>
    </row>
    <row r="218" spans="1:18" x14ac:dyDescent="0.2">
      <c r="A218" t="str">
        <f t="shared" si="3"/>
        <v>NIN12_Typ1_U_80</v>
      </c>
      <c r="B218" s="120">
        <v>0.82</v>
      </c>
      <c r="C218" s="47">
        <v>1</v>
      </c>
      <c r="D218" s="121">
        <v>1</v>
      </c>
      <c r="E218" s="120">
        <v>0.82</v>
      </c>
      <c r="F218" s="49">
        <v>1</v>
      </c>
      <c r="G218" s="121">
        <v>1</v>
      </c>
      <c r="H218" s="120">
        <v>0.82</v>
      </c>
      <c r="I218" s="49">
        <v>1</v>
      </c>
      <c r="J218" s="121">
        <v>1</v>
      </c>
      <c r="K218" s="120">
        <v>0.82</v>
      </c>
      <c r="L218" s="49">
        <v>1</v>
      </c>
      <c r="M218" s="121">
        <v>1</v>
      </c>
      <c r="N218" s="120">
        <v>0.82</v>
      </c>
      <c r="O218" s="49">
        <v>1</v>
      </c>
      <c r="P218" s="121">
        <v>1</v>
      </c>
      <c r="Q218">
        <v>80</v>
      </c>
      <c r="R218" t="s">
        <v>75</v>
      </c>
    </row>
    <row r="219" spans="1:18" x14ac:dyDescent="0.2">
      <c r="A219" t="str">
        <f t="shared" si="3"/>
        <v>NIN12_Typ1_U_90</v>
      </c>
      <c r="B219" s="120">
        <v>0.76</v>
      </c>
      <c r="C219" s="47">
        <v>1</v>
      </c>
      <c r="D219" s="121">
        <v>1</v>
      </c>
      <c r="E219" s="120">
        <v>0.76</v>
      </c>
      <c r="F219" s="49">
        <v>1</v>
      </c>
      <c r="G219" s="121">
        <v>1</v>
      </c>
      <c r="H219" s="120">
        <v>0.76</v>
      </c>
      <c r="I219" s="49">
        <v>1</v>
      </c>
      <c r="J219" s="121">
        <v>1</v>
      </c>
      <c r="K219" s="120">
        <v>0.76</v>
      </c>
      <c r="L219" s="49">
        <v>1</v>
      </c>
      <c r="M219" s="121">
        <v>1</v>
      </c>
      <c r="N219" s="120">
        <v>0.76</v>
      </c>
      <c r="O219" s="49">
        <v>1</v>
      </c>
      <c r="P219" s="121">
        <v>1</v>
      </c>
      <c r="Q219">
        <v>90</v>
      </c>
      <c r="R219" t="s">
        <v>75</v>
      </c>
    </row>
    <row r="220" spans="1:18" x14ac:dyDescent="0.2">
      <c r="A220" t="str">
        <f t="shared" si="3"/>
        <v>NIN12_Typ1_U_100</v>
      </c>
      <c r="B220" s="120">
        <v>0.7</v>
      </c>
      <c r="C220" s="47">
        <v>1</v>
      </c>
      <c r="D220" s="121">
        <v>1</v>
      </c>
      <c r="E220" s="120">
        <v>0.7</v>
      </c>
      <c r="F220" s="49">
        <v>1</v>
      </c>
      <c r="G220" s="121">
        <v>1</v>
      </c>
      <c r="H220" s="120">
        <v>0.7</v>
      </c>
      <c r="I220" s="49">
        <v>1</v>
      </c>
      <c r="J220" s="121">
        <v>1</v>
      </c>
      <c r="K220" s="120">
        <v>0.7</v>
      </c>
      <c r="L220" s="49">
        <v>1</v>
      </c>
      <c r="M220" s="121">
        <v>1</v>
      </c>
      <c r="N220" s="120">
        <v>0.7</v>
      </c>
      <c r="O220" s="49">
        <v>1</v>
      </c>
      <c r="P220" s="121">
        <v>1</v>
      </c>
      <c r="Q220">
        <v>100</v>
      </c>
      <c r="R220" t="s">
        <v>75</v>
      </c>
    </row>
    <row r="221" spans="1:18" x14ac:dyDescent="0.2">
      <c r="A221" t="str">
        <f t="shared" si="3"/>
        <v/>
      </c>
    </row>
    <row r="222" spans="1:18" x14ac:dyDescent="0.2">
      <c r="A222" t="str">
        <f t="shared" si="3"/>
        <v>NIN12_Typ2_U_10</v>
      </c>
      <c r="B222" s="120">
        <v>1.4</v>
      </c>
      <c r="C222" s="47">
        <v>1</v>
      </c>
      <c r="D222" s="121">
        <v>1</v>
      </c>
      <c r="E222" s="120">
        <v>10</v>
      </c>
      <c r="F222" s="49">
        <v>1</v>
      </c>
      <c r="G222" s="121">
        <v>1</v>
      </c>
      <c r="H222" s="120">
        <v>2</v>
      </c>
      <c r="I222" s="49">
        <v>1</v>
      </c>
      <c r="J222" s="121">
        <v>1</v>
      </c>
      <c r="K222" s="120">
        <v>1.7</v>
      </c>
      <c r="L222" s="49">
        <v>1</v>
      </c>
      <c r="M222" s="121">
        <v>1</v>
      </c>
      <c r="N222" s="120">
        <v>2</v>
      </c>
      <c r="O222" s="49">
        <v>1</v>
      </c>
      <c r="P222" s="121">
        <v>1</v>
      </c>
      <c r="Q222">
        <v>10</v>
      </c>
      <c r="R222" t="s">
        <v>77</v>
      </c>
    </row>
    <row r="223" spans="1:18" x14ac:dyDescent="0.2">
      <c r="A223" t="str">
        <f t="shared" si="3"/>
        <v>NIN12_Typ2_U_20</v>
      </c>
      <c r="B223" s="120">
        <v>1.3</v>
      </c>
      <c r="C223" s="47">
        <v>1</v>
      </c>
      <c r="D223" s="121">
        <v>1</v>
      </c>
      <c r="E223" s="120">
        <v>7.75</v>
      </c>
      <c r="F223" s="49">
        <v>1</v>
      </c>
      <c r="G223" s="121">
        <v>1</v>
      </c>
      <c r="H223" s="120">
        <v>1.75</v>
      </c>
      <c r="I223" s="49">
        <v>1</v>
      </c>
      <c r="J223" s="121">
        <v>1</v>
      </c>
      <c r="K223" s="120">
        <v>1.5249999999999999</v>
      </c>
      <c r="L223" s="49">
        <v>1</v>
      </c>
      <c r="M223" s="121">
        <v>1</v>
      </c>
      <c r="N223" s="120">
        <v>1.75</v>
      </c>
      <c r="O223" s="49">
        <v>1</v>
      </c>
      <c r="P223" s="121">
        <v>1</v>
      </c>
      <c r="Q223">
        <v>20</v>
      </c>
      <c r="R223" t="s">
        <v>77</v>
      </c>
    </row>
    <row r="224" spans="1:18" x14ac:dyDescent="0.2">
      <c r="A224" t="str">
        <f t="shared" si="3"/>
        <v>NIN12_Typ2_U_30</v>
      </c>
      <c r="B224" s="120">
        <v>1.2</v>
      </c>
      <c r="C224" s="47">
        <v>1</v>
      </c>
      <c r="D224" s="121">
        <v>1</v>
      </c>
      <c r="E224" s="120">
        <v>5.5</v>
      </c>
      <c r="F224" s="49">
        <v>1</v>
      </c>
      <c r="G224" s="121">
        <v>1</v>
      </c>
      <c r="H224" s="120">
        <v>1.5</v>
      </c>
      <c r="I224" s="49">
        <v>1</v>
      </c>
      <c r="J224" s="121">
        <v>1</v>
      </c>
      <c r="K224" s="120">
        <v>1.35</v>
      </c>
      <c r="L224" s="49">
        <v>1</v>
      </c>
      <c r="M224" s="121">
        <v>1</v>
      </c>
      <c r="N224" s="120">
        <v>1.5</v>
      </c>
      <c r="O224" s="49">
        <v>1</v>
      </c>
      <c r="P224" s="121">
        <v>1</v>
      </c>
      <c r="Q224">
        <v>30</v>
      </c>
      <c r="R224" t="s">
        <v>77</v>
      </c>
    </row>
    <row r="225" spans="1:18" x14ac:dyDescent="0.2">
      <c r="A225" t="str">
        <f t="shared" si="3"/>
        <v>NIN12_Typ2_U_40</v>
      </c>
      <c r="B225" s="120">
        <v>1.1000000000000001</v>
      </c>
      <c r="C225" s="47">
        <v>1</v>
      </c>
      <c r="D225" s="121">
        <v>1</v>
      </c>
      <c r="E225" s="120">
        <v>3.25</v>
      </c>
      <c r="F225" s="49">
        <v>1</v>
      </c>
      <c r="G225" s="121">
        <v>1</v>
      </c>
      <c r="H225" s="120">
        <v>1.25</v>
      </c>
      <c r="I225" s="49">
        <v>1</v>
      </c>
      <c r="J225" s="121">
        <v>1</v>
      </c>
      <c r="K225" s="120">
        <v>1.175</v>
      </c>
      <c r="L225" s="49">
        <v>1</v>
      </c>
      <c r="M225" s="121">
        <v>1</v>
      </c>
      <c r="N225" s="120">
        <v>1.25</v>
      </c>
      <c r="O225" s="49">
        <v>1</v>
      </c>
      <c r="P225" s="121">
        <v>1</v>
      </c>
      <c r="Q225">
        <v>40</v>
      </c>
      <c r="R225" t="s">
        <v>77</v>
      </c>
    </row>
    <row r="226" spans="1:18" x14ac:dyDescent="0.2">
      <c r="A226" t="str">
        <f t="shared" si="3"/>
        <v>NIN12_Typ2_U_50</v>
      </c>
      <c r="B226" s="120">
        <v>1</v>
      </c>
      <c r="C226" s="47">
        <v>1</v>
      </c>
      <c r="D226" s="121">
        <v>1</v>
      </c>
      <c r="E226" s="120">
        <v>1</v>
      </c>
      <c r="F226" s="49">
        <v>1</v>
      </c>
      <c r="G226" s="121">
        <v>1</v>
      </c>
      <c r="H226" s="120">
        <v>1</v>
      </c>
      <c r="I226" s="49">
        <v>1</v>
      </c>
      <c r="J226" s="121">
        <v>1</v>
      </c>
      <c r="K226" s="120">
        <v>1</v>
      </c>
      <c r="L226" s="49">
        <v>1</v>
      </c>
      <c r="M226" s="121">
        <v>1</v>
      </c>
      <c r="N226" s="120">
        <v>1</v>
      </c>
      <c r="O226" s="49">
        <v>1</v>
      </c>
      <c r="P226" s="121">
        <v>1</v>
      </c>
      <c r="Q226">
        <v>50</v>
      </c>
      <c r="R226" t="s">
        <v>77</v>
      </c>
    </row>
    <row r="227" spans="1:18" x14ac:dyDescent="0.2">
      <c r="A227" t="str">
        <f t="shared" si="3"/>
        <v>NIN12_Typ2_U_60</v>
      </c>
      <c r="B227" s="120">
        <v>0.94</v>
      </c>
      <c r="C227" s="47">
        <v>1</v>
      </c>
      <c r="D227" s="121">
        <v>1</v>
      </c>
      <c r="E227" s="120">
        <v>0.94</v>
      </c>
      <c r="F227" s="49">
        <v>1</v>
      </c>
      <c r="G227" s="121">
        <v>1</v>
      </c>
      <c r="H227" s="120">
        <v>0.94</v>
      </c>
      <c r="I227" s="49">
        <v>1</v>
      </c>
      <c r="J227" s="121">
        <v>1</v>
      </c>
      <c r="K227" s="120">
        <v>0.94</v>
      </c>
      <c r="L227" s="49">
        <v>1</v>
      </c>
      <c r="M227" s="121">
        <v>1</v>
      </c>
      <c r="N227" s="120">
        <v>0.94</v>
      </c>
      <c r="O227" s="49">
        <v>1</v>
      </c>
      <c r="P227" s="121">
        <v>1</v>
      </c>
      <c r="Q227">
        <v>60</v>
      </c>
      <c r="R227" t="s">
        <v>77</v>
      </c>
    </row>
    <row r="228" spans="1:18" x14ac:dyDescent="0.2">
      <c r="A228" t="str">
        <f t="shared" si="3"/>
        <v>NIN12_Typ2_U_70</v>
      </c>
      <c r="B228" s="120">
        <v>0.88</v>
      </c>
      <c r="C228" s="47">
        <v>1</v>
      </c>
      <c r="D228" s="121">
        <v>1</v>
      </c>
      <c r="E228" s="120">
        <v>0.88</v>
      </c>
      <c r="F228" s="49">
        <v>1</v>
      </c>
      <c r="G228" s="121">
        <v>1</v>
      </c>
      <c r="H228" s="120">
        <v>0.88</v>
      </c>
      <c r="I228" s="49">
        <v>1</v>
      </c>
      <c r="J228" s="121">
        <v>1</v>
      </c>
      <c r="K228" s="120">
        <v>0.88</v>
      </c>
      <c r="L228" s="49">
        <v>1</v>
      </c>
      <c r="M228" s="121">
        <v>1</v>
      </c>
      <c r="N228" s="120">
        <v>0.88</v>
      </c>
      <c r="O228" s="49">
        <v>1</v>
      </c>
      <c r="P228" s="121">
        <v>1</v>
      </c>
      <c r="Q228">
        <v>70</v>
      </c>
      <c r="R228" t="s">
        <v>77</v>
      </c>
    </row>
    <row r="229" spans="1:18" x14ac:dyDescent="0.2">
      <c r="A229" t="str">
        <f t="shared" si="3"/>
        <v>NIN12_Typ2_U_75</v>
      </c>
      <c r="B229" s="120">
        <v>0.85</v>
      </c>
      <c r="C229" s="47">
        <v>1</v>
      </c>
      <c r="D229" s="121">
        <v>1</v>
      </c>
      <c r="E229" s="120">
        <v>0.85</v>
      </c>
      <c r="F229" s="49">
        <v>1</v>
      </c>
      <c r="G229" s="121">
        <v>1</v>
      </c>
      <c r="H229" s="120">
        <v>0.85</v>
      </c>
      <c r="I229" s="49">
        <v>1</v>
      </c>
      <c r="J229" s="121">
        <v>1</v>
      </c>
      <c r="K229" s="120">
        <v>0.85</v>
      </c>
      <c r="L229" s="49">
        <v>1</v>
      </c>
      <c r="M229" s="121">
        <v>1</v>
      </c>
      <c r="N229" s="120">
        <v>0.85</v>
      </c>
      <c r="O229" s="49">
        <v>1</v>
      </c>
      <c r="P229" s="121">
        <v>1</v>
      </c>
      <c r="Q229">
        <v>75</v>
      </c>
      <c r="R229" t="s">
        <v>77</v>
      </c>
    </row>
    <row r="230" spans="1:18" x14ac:dyDescent="0.2">
      <c r="A230" t="str">
        <f t="shared" si="3"/>
        <v>NIN12_Typ2_U_80</v>
      </c>
      <c r="B230" s="120">
        <v>0.82</v>
      </c>
      <c r="C230" s="47">
        <v>1</v>
      </c>
      <c r="D230" s="121">
        <v>1</v>
      </c>
      <c r="E230" s="120">
        <v>0.82</v>
      </c>
      <c r="F230" s="49">
        <v>1</v>
      </c>
      <c r="G230" s="121">
        <v>1</v>
      </c>
      <c r="H230" s="120">
        <v>0.82</v>
      </c>
      <c r="I230" s="49">
        <v>1</v>
      </c>
      <c r="J230" s="121">
        <v>1</v>
      </c>
      <c r="K230" s="120">
        <v>0.82</v>
      </c>
      <c r="L230" s="49">
        <v>1</v>
      </c>
      <c r="M230" s="121">
        <v>1</v>
      </c>
      <c r="N230" s="120">
        <v>0.82</v>
      </c>
      <c r="O230" s="49">
        <v>1</v>
      </c>
      <c r="P230" s="121">
        <v>1</v>
      </c>
      <c r="Q230">
        <v>80</v>
      </c>
      <c r="R230" t="s">
        <v>77</v>
      </c>
    </row>
    <row r="231" spans="1:18" x14ac:dyDescent="0.2">
      <c r="A231" t="str">
        <f t="shared" si="3"/>
        <v>NIN12_Typ2_U_90</v>
      </c>
      <c r="B231" s="120">
        <v>0.76</v>
      </c>
      <c r="C231" s="47">
        <v>1</v>
      </c>
      <c r="D231" s="121">
        <v>1</v>
      </c>
      <c r="E231" s="120">
        <v>0.76</v>
      </c>
      <c r="F231" s="49">
        <v>1</v>
      </c>
      <c r="G231" s="121">
        <v>1</v>
      </c>
      <c r="H231" s="120">
        <v>0.76</v>
      </c>
      <c r="I231" s="49">
        <v>1</v>
      </c>
      <c r="J231" s="121">
        <v>1</v>
      </c>
      <c r="K231" s="120">
        <v>0.76</v>
      </c>
      <c r="L231" s="49">
        <v>1</v>
      </c>
      <c r="M231" s="121">
        <v>1</v>
      </c>
      <c r="N231" s="120">
        <v>0.76</v>
      </c>
      <c r="O231" s="49">
        <v>1</v>
      </c>
      <c r="P231" s="121">
        <v>1</v>
      </c>
      <c r="Q231">
        <v>90</v>
      </c>
      <c r="R231" t="s">
        <v>77</v>
      </c>
    </row>
    <row r="232" spans="1:18" x14ac:dyDescent="0.2">
      <c r="A232" t="str">
        <f t="shared" si="3"/>
        <v>NIN12_Typ2_U_100</v>
      </c>
      <c r="B232" s="120">
        <v>0.7</v>
      </c>
      <c r="C232" s="47">
        <v>1</v>
      </c>
      <c r="D232" s="121">
        <v>1</v>
      </c>
      <c r="E232" s="120">
        <v>0.7</v>
      </c>
      <c r="F232" s="49">
        <v>1</v>
      </c>
      <c r="G232" s="121">
        <v>1</v>
      </c>
      <c r="H232" s="120">
        <v>0.7</v>
      </c>
      <c r="I232" s="49">
        <v>1</v>
      </c>
      <c r="J232" s="121">
        <v>1</v>
      </c>
      <c r="K232" s="120">
        <v>0.7</v>
      </c>
      <c r="L232" s="49">
        <v>1</v>
      </c>
      <c r="M232" s="121">
        <v>1</v>
      </c>
      <c r="N232" s="120">
        <v>0.7</v>
      </c>
      <c r="O232" s="49">
        <v>1</v>
      </c>
      <c r="P232" s="121">
        <v>1</v>
      </c>
      <c r="Q232">
        <v>100</v>
      </c>
      <c r="R232" t="s">
        <v>77</v>
      </c>
    </row>
    <row r="233" spans="1:18" x14ac:dyDescent="0.2">
      <c r="A233" t="str">
        <f t="shared" si="3"/>
        <v/>
      </c>
    </row>
    <row r="234" spans="1:18" x14ac:dyDescent="0.2">
      <c r="A234" t="str">
        <f t="shared" si="3"/>
        <v>NHO12_U_10</v>
      </c>
      <c r="B234" s="120">
        <v>1.4</v>
      </c>
      <c r="C234" s="47">
        <v>1</v>
      </c>
      <c r="D234" s="121">
        <v>1</v>
      </c>
      <c r="E234" s="120">
        <v>10</v>
      </c>
      <c r="F234" s="49">
        <v>1</v>
      </c>
      <c r="G234" s="121">
        <v>1</v>
      </c>
      <c r="H234" s="120">
        <v>2</v>
      </c>
      <c r="I234" s="49">
        <v>1</v>
      </c>
      <c r="J234" s="121">
        <v>1</v>
      </c>
      <c r="K234" s="120">
        <v>1.7</v>
      </c>
      <c r="L234" s="49">
        <v>1</v>
      </c>
      <c r="M234" s="121">
        <v>1</v>
      </c>
      <c r="N234" s="120">
        <v>2</v>
      </c>
      <c r="O234" s="49">
        <v>1</v>
      </c>
      <c r="P234" s="121">
        <v>1</v>
      </c>
      <c r="Q234">
        <v>10</v>
      </c>
      <c r="R234" t="s">
        <v>91</v>
      </c>
    </row>
    <row r="235" spans="1:18" x14ac:dyDescent="0.2">
      <c r="A235" t="str">
        <f t="shared" si="3"/>
        <v>NHO12_U_20</v>
      </c>
      <c r="B235" s="120">
        <v>1.3</v>
      </c>
      <c r="C235" s="47">
        <v>1</v>
      </c>
      <c r="D235" s="121">
        <v>1</v>
      </c>
      <c r="E235" s="120">
        <v>7.75</v>
      </c>
      <c r="F235" s="49">
        <v>1</v>
      </c>
      <c r="G235" s="121">
        <v>1</v>
      </c>
      <c r="H235" s="120">
        <v>1.75</v>
      </c>
      <c r="I235" s="49">
        <v>1</v>
      </c>
      <c r="J235" s="121">
        <v>1</v>
      </c>
      <c r="K235" s="120">
        <v>1.5249999999999999</v>
      </c>
      <c r="L235" s="49">
        <v>1</v>
      </c>
      <c r="M235" s="121">
        <v>1</v>
      </c>
      <c r="N235" s="120">
        <v>1.75</v>
      </c>
      <c r="O235" s="49">
        <v>1</v>
      </c>
      <c r="P235" s="121">
        <v>1</v>
      </c>
      <c r="Q235">
        <v>20</v>
      </c>
      <c r="R235" t="s">
        <v>91</v>
      </c>
    </row>
    <row r="236" spans="1:18" x14ac:dyDescent="0.2">
      <c r="A236" t="str">
        <f t="shared" si="3"/>
        <v>NHO12_U_30</v>
      </c>
      <c r="B236" s="120">
        <v>1.2</v>
      </c>
      <c r="C236" s="47">
        <v>1</v>
      </c>
      <c r="D236" s="121">
        <v>1</v>
      </c>
      <c r="E236" s="120">
        <v>5.5</v>
      </c>
      <c r="F236" s="49">
        <v>1</v>
      </c>
      <c r="G236" s="121">
        <v>1</v>
      </c>
      <c r="H236" s="120">
        <v>1.5</v>
      </c>
      <c r="I236" s="49">
        <v>1</v>
      </c>
      <c r="J236" s="121">
        <v>1</v>
      </c>
      <c r="K236" s="120">
        <v>1.35</v>
      </c>
      <c r="L236" s="49">
        <v>1</v>
      </c>
      <c r="M236" s="121">
        <v>1</v>
      </c>
      <c r="N236" s="120">
        <v>1.5</v>
      </c>
      <c r="O236" s="49">
        <v>1</v>
      </c>
      <c r="P236" s="121">
        <v>1</v>
      </c>
      <c r="Q236">
        <v>30</v>
      </c>
      <c r="R236" t="s">
        <v>91</v>
      </c>
    </row>
    <row r="237" spans="1:18" x14ac:dyDescent="0.2">
      <c r="A237" t="str">
        <f t="shared" si="3"/>
        <v>NHO12_U_40</v>
      </c>
      <c r="B237" s="120">
        <v>1.1000000000000001</v>
      </c>
      <c r="C237" s="47">
        <v>1</v>
      </c>
      <c r="D237" s="121">
        <v>1</v>
      </c>
      <c r="E237" s="120">
        <v>3.25</v>
      </c>
      <c r="F237" s="49">
        <v>1</v>
      </c>
      <c r="G237" s="121">
        <v>1</v>
      </c>
      <c r="H237" s="120">
        <v>1.25</v>
      </c>
      <c r="I237" s="49">
        <v>1</v>
      </c>
      <c r="J237" s="121">
        <v>1</v>
      </c>
      <c r="K237" s="120">
        <v>1.175</v>
      </c>
      <c r="L237" s="49">
        <v>1</v>
      </c>
      <c r="M237" s="121">
        <v>1</v>
      </c>
      <c r="N237" s="120">
        <v>1.25</v>
      </c>
      <c r="O237" s="49">
        <v>1</v>
      </c>
      <c r="P237" s="121">
        <v>1</v>
      </c>
      <c r="Q237">
        <v>40</v>
      </c>
      <c r="R237" t="s">
        <v>91</v>
      </c>
    </row>
    <row r="238" spans="1:18" x14ac:dyDescent="0.2">
      <c r="A238" t="str">
        <f t="shared" si="3"/>
        <v>NHO12_U_50</v>
      </c>
      <c r="B238" s="120">
        <v>1</v>
      </c>
      <c r="C238" s="47">
        <v>1</v>
      </c>
      <c r="D238" s="121">
        <v>1</v>
      </c>
      <c r="E238" s="120">
        <v>1</v>
      </c>
      <c r="F238" s="49">
        <v>1</v>
      </c>
      <c r="G238" s="121">
        <v>1</v>
      </c>
      <c r="H238" s="120">
        <v>1</v>
      </c>
      <c r="I238" s="49">
        <v>1</v>
      </c>
      <c r="J238" s="121">
        <v>1</v>
      </c>
      <c r="K238" s="120">
        <v>1</v>
      </c>
      <c r="L238" s="49">
        <v>1</v>
      </c>
      <c r="M238" s="121">
        <v>1</v>
      </c>
      <c r="N238" s="120">
        <v>1</v>
      </c>
      <c r="O238" s="49">
        <v>1</v>
      </c>
      <c r="P238" s="121">
        <v>1</v>
      </c>
      <c r="Q238">
        <v>50</v>
      </c>
      <c r="R238" t="s">
        <v>91</v>
      </c>
    </row>
    <row r="239" spans="1:18" x14ac:dyDescent="0.2">
      <c r="A239" t="str">
        <f t="shared" si="3"/>
        <v>NHO12_U_60</v>
      </c>
      <c r="B239" s="120">
        <v>0.94</v>
      </c>
      <c r="C239" s="47">
        <v>1</v>
      </c>
      <c r="D239" s="121">
        <v>1</v>
      </c>
      <c r="E239" s="120">
        <v>0.94</v>
      </c>
      <c r="F239" s="49">
        <v>1</v>
      </c>
      <c r="G239" s="121">
        <v>1</v>
      </c>
      <c r="H239" s="120">
        <v>0.94</v>
      </c>
      <c r="I239" s="49">
        <v>1</v>
      </c>
      <c r="J239" s="121">
        <v>1</v>
      </c>
      <c r="K239" s="120">
        <v>0.94</v>
      </c>
      <c r="L239" s="49">
        <v>1</v>
      </c>
      <c r="M239" s="121">
        <v>1</v>
      </c>
      <c r="N239" s="120">
        <v>0.94</v>
      </c>
      <c r="O239" s="49">
        <v>1</v>
      </c>
      <c r="P239" s="121">
        <v>1</v>
      </c>
      <c r="Q239">
        <v>60</v>
      </c>
      <c r="R239" t="s">
        <v>91</v>
      </c>
    </row>
    <row r="240" spans="1:18" x14ac:dyDescent="0.2">
      <c r="A240" t="str">
        <f t="shared" si="3"/>
        <v>NHO12_U_70</v>
      </c>
      <c r="B240" s="120">
        <v>0.88</v>
      </c>
      <c r="C240" s="47">
        <v>1</v>
      </c>
      <c r="D240" s="121">
        <v>1</v>
      </c>
      <c r="E240" s="120">
        <v>0.88</v>
      </c>
      <c r="F240" s="49">
        <v>1</v>
      </c>
      <c r="G240" s="121">
        <v>1</v>
      </c>
      <c r="H240" s="120">
        <v>0.88</v>
      </c>
      <c r="I240" s="49">
        <v>1</v>
      </c>
      <c r="J240" s="121">
        <v>1</v>
      </c>
      <c r="K240" s="120">
        <v>0.88</v>
      </c>
      <c r="L240" s="49">
        <v>1</v>
      </c>
      <c r="M240" s="121">
        <v>1</v>
      </c>
      <c r="N240" s="120">
        <v>0.88</v>
      </c>
      <c r="O240" s="49">
        <v>1</v>
      </c>
      <c r="P240" s="121">
        <v>1</v>
      </c>
      <c r="Q240">
        <v>70</v>
      </c>
      <c r="R240" t="s">
        <v>91</v>
      </c>
    </row>
    <row r="241" spans="1:18" x14ac:dyDescent="0.2">
      <c r="A241" t="str">
        <f t="shared" si="3"/>
        <v>NHO12_U_75</v>
      </c>
      <c r="B241" s="120">
        <v>0.85</v>
      </c>
      <c r="C241" s="47">
        <v>1</v>
      </c>
      <c r="D241" s="121">
        <v>1</v>
      </c>
      <c r="E241" s="120">
        <v>0.85</v>
      </c>
      <c r="F241" s="49">
        <v>1</v>
      </c>
      <c r="G241" s="121">
        <v>1</v>
      </c>
      <c r="H241" s="120">
        <v>0.85</v>
      </c>
      <c r="I241" s="49">
        <v>1</v>
      </c>
      <c r="J241" s="121">
        <v>1</v>
      </c>
      <c r="K241" s="120">
        <v>0.85</v>
      </c>
      <c r="L241" s="49">
        <v>1</v>
      </c>
      <c r="M241" s="121">
        <v>1</v>
      </c>
      <c r="N241" s="120">
        <v>0.85</v>
      </c>
      <c r="O241" s="49">
        <v>1</v>
      </c>
      <c r="P241" s="121">
        <v>1</v>
      </c>
      <c r="Q241">
        <v>75</v>
      </c>
      <c r="R241" t="s">
        <v>91</v>
      </c>
    </row>
    <row r="242" spans="1:18" x14ac:dyDescent="0.2">
      <c r="A242" t="str">
        <f t="shared" si="3"/>
        <v>NHO12_U_80</v>
      </c>
      <c r="B242" s="120">
        <v>0.82</v>
      </c>
      <c r="C242" s="47">
        <v>1</v>
      </c>
      <c r="D242" s="121">
        <v>1</v>
      </c>
      <c r="E242" s="120">
        <v>0.82</v>
      </c>
      <c r="F242" s="49">
        <v>1</v>
      </c>
      <c r="G242" s="121">
        <v>1</v>
      </c>
      <c r="H242" s="120">
        <v>0.82</v>
      </c>
      <c r="I242" s="49">
        <v>1</v>
      </c>
      <c r="J242" s="121">
        <v>1</v>
      </c>
      <c r="K242" s="120">
        <v>0.82</v>
      </c>
      <c r="L242" s="49">
        <v>1</v>
      </c>
      <c r="M242" s="121">
        <v>1</v>
      </c>
      <c r="N242" s="120">
        <v>0.82</v>
      </c>
      <c r="O242" s="49">
        <v>1</v>
      </c>
      <c r="P242" s="121">
        <v>1</v>
      </c>
      <c r="Q242">
        <v>80</v>
      </c>
      <c r="R242" t="s">
        <v>91</v>
      </c>
    </row>
    <row r="243" spans="1:18" x14ac:dyDescent="0.2">
      <c r="A243" t="str">
        <f t="shared" si="3"/>
        <v>NHO12_U_90</v>
      </c>
      <c r="B243" s="120">
        <v>0.76</v>
      </c>
      <c r="C243" s="47">
        <v>1</v>
      </c>
      <c r="D243" s="121">
        <v>1</v>
      </c>
      <c r="E243" s="120">
        <v>0.76</v>
      </c>
      <c r="F243" s="49">
        <v>1</v>
      </c>
      <c r="G243" s="121">
        <v>1</v>
      </c>
      <c r="H243" s="120">
        <v>0.76</v>
      </c>
      <c r="I243" s="49">
        <v>1</v>
      </c>
      <c r="J243" s="121">
        <v>1</v>
      </c>
      <c r="K243" s="120">
        <v>0.76</v>
      </c>
      <c r="L243" s="49">
        <v>1</v>
      </c>
      <c r="M243" s="121">
        <v>1</v>
      </c>
      <c r="N243" s="120">
        <v>0.76</v>
      </c>
      <c r="O243" s="49">
        <v>1</v>
      </c>
      <c r="P243" s="121">
        <v>1</v>
      </c>
      <c r="Q243">
        <v>90</v>
      </c>
      <c r="R243" t="s">
        <v>91</v>
      </c>
    </row>
    <row r="244" spans="1:18" x14ac:dyDescent="0.2">
      <c r="A244" t="str">
        <f t="shared" si="3"/>
        <v>NHO12_U_100</v>
      </c>
      <c r="B244" s="120">
        <v>0.7</v>
      </c>
      <c r="C244" s="47">
        <v>1</v>
      </c>
      <c r="D244" s="121">
        <v>1</v>
      </c>
      <c r="E244" s="120">
        <v>0.7</v>
      </c>
      <c r="F244" s="49">
        <v>1</v>
      </c>
      <c r="G244" s="121">
        <v>1</v>
      </c>
      <c r="H244" s="120">
        <v>0.7</v>
      </c>
      <c r="I244" s="49">
        <v>1</v>
      </c>
      <c r="J244" s="121">
        <v>1</v>
      </c>
      <c r="K244" s="120">
        <v>0.7</v>
      </c>
      <c r="L244" s="49">
        <v>1</v>
      </c>
      <c r="M244" s="121">
        <v>1</v>
      </c>
      <c r="N244" s="120">
        <v>0.7</v>
      </c>
      <c r="O244" s="49">
        <v>1</v>
      </c>
      <c r="P244" s="121">
        <v>1</v>
      </c>
      <c r="Q244">
        <v>100</v>
      </c>
      <c r="R244" t="s">
        <v>91</v>
      </c>
    </row>
    <row r="245" spans="1:18" x14ac:dyDescent="0.2">
      <c r="A245" t="str">
        <f t="shared" si="3"/>
        <v/>
      </c>
    </row>
    <row r="246" spans="1:18" x14ac:dyDescent="0.2">
      <c r="A246" t="str">
        <f t="shared" si="3"/>
        <v>NHO15_10</v>
      </c>
      <c r="B246" s="120">
        <v>1.4</v>
      </c>
      <c r="C246" s="47">
        <v>1</v>
      </c>
      <c r="D246" s="121">
        <v>1</v>
      </c>
      <c r="E246" s="120">
        <v>10</v>
      </c>
      <c r="F246" s="49">
        <v>1</v>
      </c>
      <c r="G246" s="121">
        <v>1</v>
      </c>
      <c r="H246" s="120">
        <v>2</v>
      </c>
      <c r="I246" s="49">
        <v>1</v>
      </c>
      <c r="J246" s="121">
        <v>1</v>
      </c>
      <c r="K246" s="120">
        <v>1.7</v>
      </c>
      <c r="L246" s="49">
        <v>1</v>
      </c>
      <c r="M246" s="121">
        <v>1</v>
      </c>
      <c r="N246" s="120">
        <v>2</v>
      </c>
      <c r="O246" s="49">
        <v>1</v>
      </c>
      <c r="P246" s="121">
        <v>1</v>
      </c>
      <c r="Q246">
        <v>10</v>
      </c>
      <c r="R246" t="s">
        <v>92</v>
      </c>
    </row>
    <row r="247" spans="1:18" x14ac:dyDescent="0.2">
      <c r="A247" t="str">
        <f t="shared" si="3"/>
        <v>NHO15_20</v>
      </c>
      <c r="B247" s="120">
        <v>1.3</v>
      </c>
      <c r="C247" s="47">
        <v>1</v>
      </c>
      <c r="D247" s="121">
        <v>1</v>
      </c>
      <c r="E247" s="120">
        <v>7.75</v>
      </c>
      <c r="F247" s="49">
        <v>1</v>
      </c>
      <c r="G247" s="121">
        <v>1</v>
      </c>
      <c r="H247" s="120">
        <v>1.75</v>
      </c>
      <c r="I247" s="49">
        <v>1</v>
      </c>
      <c r="J247" s="121">
        <v>1</v>
      </c>
      <c r="K247" s="120">
        <v>1.5249999999999999</v>
      </c>
      <c r="L247" s="49">
        <v>1</v>
      </c>
      <c r="M247" s="121">
        <v>1</v>
      </c>
      <c r="N247" s="120">
        <v>1.75</v>
      </c>
      <c r="O247" s="49">
        <v>1</v>
      </c>
      <c r="P247" s="121">
        <v>1</v>
      </c>
      <c r="Q247">
        <v>20</v>
      </c>
      <c r="R247" t="s">
        <v>92</v>
      </c>
    </row>
    <row r="248" spans="1:18" x14ac:dyDescent="0.2">
      <c r="A248" t="str">
        <f t="shared" si="3"/>
        <v>NHO15_30</v>
      </c>
      <c r="B248" s="120">
        <v>1.2</v>
      </c>
      <c r="C248" s="47">
        <v>1</v>
      </c>
      <c r="D248" s="121">
        <v>1</v>
      </c>
      <c r="E248" s="120">
        <v>5.5</v>
      </c>
      <c r="F248" s="49">
        <v>1</v>
      </c>
      <c r="G248" s="121">
        <v>1</v>
      </c>
      <c r="H248" s="120">
        <v>1.5</v>
      </c>
      <c r="I248" s="49">
        <v>1</v>
      </c>
      <c r="J248" s="121">
        <v>1</v>
      </c>
      <c r="K248" s="120">
        <v>1.35</v>
      </c>
      <c r="L248" s="49">
        <v>1</v>
      </c>
      <c r="M248" s="121">
        <v>1</v>
      </c>
      <c r="N248" s="120">
        <v>1.5</v>
      </c>
      <c r="O248" s="49">
        <v>1</v>
      </c>
      <c r="P248" s="121">
        <v>1</v>
      </c>
      <c r="Q248">
        <v>30</v>
      </c>
      <c r="R248" t="s">
        <v>92</v>
      </c>
    </row>
    <row r="249" spans="1:18" x14ac:dyDescent="0.2">
      <c r="A249" t="str">
        <f t="shared" si="3"/>
        <v>NHO15_40</v>
      </c>
      <c r="B249" s="120">
        <v>1.1000000000000001</v>
      </c>
      <c r="C249" s="47">
        <v>1</v>
      </c>
      <c r="D249" s="121">
        <v>1</v>
      </c>
      <c r="E249" s="120">
        <v>3.25</v>
      </c>
      <c r="F249" s="49">
        <v>1</v>
      </c>
      <c r="G249" s="121">
        <v>1</v>
      </c>
      <c r="H249" s="120">
        <v>1.25</v>
      </c>
      <c r="I249" s="49">
        <v>1</v>
      </c>
      <c r="J249" s="121">
        <v>1</v>
      </c>
      <c r="K249" s="120">
        <v>1.175</v>
      </c>
      <c r="L249" s="49">
        <v>1</v>
      </c>
      <c r="M249" s="121">
        <v>1</v>
      </c>
      <c r="N249" s="120">
        <v>1.25</v>
      </c>
      <c r="O249" s="49">
        <v>1</v>
      </c>
      <c r="P249" s="121">
        <v>1</v>
      </c>
      <c r="Q249">
        <v>40</v>
      </c>
      <c r="R249" t="s">
        <v>92</v>
      </c>
    </row>
    <row r="250" spans="1:18" x14ac:dyDescent="0.2">
      <c r="A250" t="str">
        <f t="shared" si="3"/>
        <v>NHO15_50</v>
      </c>
      <c r="B250" s="120">
        <v>1</v>
      </c>
      <c r="C250" s="47">
        <v>1</v>
      </c>
      <c r="D250" s="121">
        <v>1</v>
      </c>
      <c r="E250" s="120">
        <v>1</v>
      </c>
      <c r="F250" s="49">
        <v>1</v>
      </c>
      <c r="G250" s="121">
        <v>1</v>
      </c>
      <c r="H250" s="120">
        <v>1</v>
      </c>
      <c r="I250" s="49">
        <v>1</v>
      </c>
      <c r="J250" s="121">
        <v>1</v>
      </c>
      <c r="K250" s="120">
        <v>1</v>
      </c>
      <c r="L250" s="49">
        <v>1</v>
      </c>
      <c r="M250" s="121">
        <v>1</v>
      </c>
      <c r="N250" s="120">
        <v>1</v>
      </c>
      <c r="O250" s="49">
        <v>1</v>
      </c>
      <c r="P250" s="121">
        <v>1</v>
      </c>
      <c r="Q250">
        <v>50</v>
      </c>
      <c r="R250" t="s">
        <v>92</v>
      </c>
    </row>
    <row r="251" spans="1:18" x14ac:dyDescent="0.2">
      <c r="A251" t="str">
        <f t="shared" si="3"/>
        <v>NHO15_60</v>
      </c>
      <c r="B251" s="120">
        <v>0.94</v>
      </c>
      <c r="C251" s="47">
        <v>1</v>
      </c>
      <c r="D251" s="121">
        <v>1</v>
      </c>
      <c r="E251" s="120">
        <v>0.94</v>
      </c>
      <c r="F251" s="49">
        <v>1</v>
      </c>
      <c r="G251" s="121">
        <v>1</v>
      </c>
      <c r="H251" s="120">
        <v>0.94</v>
      </c>
      <c r="I251" s="49">
        <v>1</v>
      </c>
      <c r="J251" s="121">
        <v>1</v>
      </c>
      <c r="K251" s="120">
        <v>0.94</v>
      </c>
      <c r="L251" s="49">
        <v>1</v>
      </c>
      <c r="M251" s="121">
        <v>1</v>
      </c>
      <c r="N251" s="120">
        <v>0.94</v>
      </c>
      <c r="O251" s="49">
        <v>1</v>
      </c>
      <c r="P251" s="121">
        <v>1</v>
      </c>
      <c r="Q251">
        <v>60</v>
      </c>
      <c r="R251" t="s">
        <v>92</v>
      </c>
    </row>
    <row r="252" spans="1:18" x14ac:dyDescent="0.2">
      <c r="A252" t="str">
        <f t="shared" si="3"/>
        <v>NHO15_70</v>
      </c>
      <c r="B252" s="120">
        <v>0.88</v>
      </c>
      <c r="C252" s="47">
        <v>1</v>
      </c>
      <c r="D252" s="121">
        <v>1</v>
      </c>
      <c r="E252" s="120">
        <v>0.88</v>
      </c>
      <c r="F252" s="49">
        <v>1</v>
      </c>
      <c r="G252" s="121">
        <v>1</v>
      </c>
      <c r="H252" s="120">
        <v>0.88</v>
      </c>
      <c r="I252" s="49">
        <v>1</v>
      </c>
      <c r="J252" s="121">
        <v>1</v>
      </c>
      <c r="K252" s="120">
        <v>0.88</v>
      </c>
      <c r="L252" s="49">
        <v>1</v>
      </c>
      <c r="M252" s="121">
        <v>1</v>
      </c>
      <c r="N252" s="120">
        <v>0.88</v>
      </c>
      <c r="O252" s="49">
        <v>1</v>
      </c>
      <c r="P252" s="121">
        <v>1</v>
      </c>
      <c r="Q252">
        <v>70</v>
      </c>
      <c r="R252" t="s">
        <v>92</v>
      </c>
    </row>
    <row r="253" spans="1:18" x14ac:dyDescent="0.2">
      <c r="A253" t="str">
        <f t="shared" si="3"/>
        <v>NHO15_75</v>
      </c>
      <c r="B253" s="120">
        <v>0.85</v>
      </c>
      <c r="C253" s="47">
        <v>1</v>
      </c>
      <c r="D253" s="121">
        <v>1</v>
      </c>
      <c r="E253" s="120">
        <v>0.85</v>
      </c>
      <c r="F253" s="49">
        <v>1</v>
      </c>
      <c r="G253" s="121">
        <v>1</v>
      </c>
      <c r="H253" s="120">
        <v>0.85</v>
      </c>
      <c r="I253" s="49">
        <v>1</v>
      </c>
      <c r="J253" s="121">
        <v>1</v>
      </c>
      <c r="K253" s="120">
        <v>0.85</v>
      </c>
      <c r="L253" s="49">
        <v>1</v>
      </c>
      <c r="M253" s="121">
        <v>1</v>
      </c>
      <c r="N253" s="120">
        <v>0.85</v>
      </c>
      <c r="O253" s="49">
        <v>1</v>
      </c>
      <c r="P253" s="121">
        <v>1</v>
      </c>
      <c r="Q253">
        <v>75</v>
      </c>
      <c r="R253" t="s">
        <v>92</v>
      </c>
    </row>
    <row r="254" spans="1:18" x14ac:dyDescent="0.2">
      <c r="A254" t="str">
        <f t="shared" si="3"/>
        <v>NHO15_80</v>
      </c>
      <c r="B254" s="120">
        <v>0.82</v>
      </c>
      <c r="C254" s="47">
        <v>1</v>
      </c>
      <c r="D254" s="121">
        <v>1</v>
      </c>
      <c r="E254" s="120">
        <v>0.82</v>
      </c>
      <c r="F254" s="49">
        <v>1</v>
      </c>
      <c r="G254" s="121">
        <v>1</v>
      </c>
      <c r="H254" s="120">
        <v>0.82</v>
      </c>
      <c r="I254" s="49">
        <v>1</v>
      </c>
      <c r="J254" s="121">
        <v>1</v>
      </c>
      <c r="K254" s="120">
        <v>0.82</v>
      </c>
      <c r="L254" s="49">
        <v>1</v>
      </c>
      <c r="M254" s="121">
        <v>1</v>
      </c>
      <c r="N254" s="120">
        <v>0.82</v>
      </c>
      <c r="O254" s="49">
        <v>1</v>
      </c>
      <c r="P254" s="121">
        <v>1</v>
      </c>
      <c r="Q254">
        <v>80</v>
      </c>
      <c r="R254" t="s">
        <v>92</v>
      </c>
    </row>
    <row r="255" spans="1:18" x14ac:dyDescent="0.2">
      <c r="A255" t="str">
        <f t="shared" si="3"/>
        <v>NHO15_90</v>
      </c>
      <c r="B255" s="120">
        <v>0.76</v>
      </c>
      <c r="C255" s="47">
        <v>1</v>
      </c>
      <c r="D255" s="121">
        <v>1</v>
      </c>
      <c r="E255" s="120">
        <v>0.76</v>
      </c>
      <c r="F255" s="49">
        <v>1</v>
      </c>
      <c r="G255" s="121">
        <v>1</v>
      </c>
      <c r="H255" s="120">
        <v>0.76</v>
      </c>
      <c r="I255" s="49">
        <v>1</v>
      </c>
      <c r="J255" s="121">
        <v>1</v>
      </c>
      <c r="K255" s="120">
        <v>0.76</v>
      </c>
      <c r="L255" s="49">
        <v>1</v>
      </c>
      <c r="M255" s="121">
        <v>1</v>
      </c>
      <c r="N255" s="120">
        <v>0.76</v>
      </c>
      <c r="O255" s="49">
        <v>1</v>
      </c>
      <c r="P255" s="121">
        <v>1</v>
      </c>
      <c r="Q255">
        <v>90</v>
      </c>
      <c r="R255" t="s">
        <v>92</v>
      </c>
    </row>
    <row r="256" spans="1:18" x14ac:dyDescent="0.2">
      <c r="A256" t="str">
        <f t="shared" si="3"/>
        <v>NHO15_100</v>
      </c>
      <c r="B256" s="120">
        <v>0.7</v>
      </c>
      <c r="C256" s="47">
        <v>1</v>
      </c>
      <c r="D256" s="121">
        <v>1</v>
      </c>
      <c r="E256" s="120">
        <v>0.7</v>
      </c>
      <c r="F256" s="49">
        <v>1</v>
      </c>
      <c r="G256" s="121">
        <v>1</v>
      </c>
      <c r="H256" s="120">
        <v>0.7</v>
      </c>
      <c r="I256" s="49">
        <v>1</v>
      </c>
      <c r="J256" s="121">
        <v>1</v>
      </c>
      <c r="K256" s="120">
        <v>0.7</v>
      </c>
      <c r="L256" s="49">
        <v>1</v>
      </c>
      <c r="M256" s="121">
        <v>1</v>
      </c>
      <c r="N256" s="120">
        <v>0.7</v>
      </c>
      <c r="O256" s="49">
        <v>1</v>
      </c>
      <c r="P256" s="121">
        <v>1</v>
      </c>
      <c r="Q256">
        <v>100</v>
      </c>
      <c r="R256" t="s">
        <v>92</v>
      </c>
    </row>
    <row r="257" spans="1:18" x14ac:dyDescent="0.2">
      <c r="A257" t="str">
        <f t="shared" si="3"/>
        <v>NHO15_110</v>
      </c>
      <c r="B257" s="120">
        <v>0.7</v>
      </c>
      <c r="C257" s="49">
        <v>1</v>
      </c>
      <c r="D257" s="121">
        <v>0.875</v>
      </c>
      <c r="E257" s="120">
        <v>0.7</v>
      </c>
      <c r="F257" s="49">
        <v>1</v>
      </c>
      <c r="G257" s="121">
        <v>0.875</v>
      </c>
      <c r="H257" s="120">
        <v>0.7</v>
      </c>
      <c r="I257" s="49">
        <v>1</v>
      </c>
      <c r="J257" s="121">
        <v>0.875</v>
      </c>
      <c r="K257" s="120">
        <v>0.7</v>
      </c>
      <c r="L257" s="49">
        <v>1</v>
      </c>
      <c r="M257" s="121">
        <v>0.875</v>
      </c>
      <c r="N257" s="120">
        <v>0.7</v>
      </c>
      <c r="O257" s="49">
        <v>1</v>
      </c>
      <c r="P257" s="121">
        <v>0.75</v>
      </c>
      <c r="Q257" s="49">
        <v>110</v>
      </c>
      <c r="R257" t="s">
        <v>92</v>
      </c>
    </row>
    <row r="258" spans="1:18" x14ac:dyDescent="0.2">
      <c r="A258" t="str">
        <f t="shared" si="3"/>
        <v>NHO15_120</v>
      </c>
      <c r="B258" s="120">
        <v>0.7</v>
      </c>
      <c r="C258" s="49">
        <v>1</v>
      </c>
      <c r="D258" s="121">
        <v>0.75</v>
      </c>
      <c r="E258" s="120">
        <v>0.7</v>
      </c>
      <c r="F258" s="49">
        <v>1</v>
      </c>
      <c r="G258" s="121">
        <v>0.75</v>
      </c>
      <c r="H258" s="120">
        <v>0.7</v>
      </c>
      <c r="I258" s="49">
        <v>1</v>
      </c>
      <c r="J258" s="121">
        <v>0.75</v>
      </c>
      <c r="K258" s="120">
        <v>0.7</v>
      </c>
      <c r="L258" s="49">
        <v>1</v>
      </c>
      <c r="M258" s="121">
        <v>0.75</v>
      </c>
      <c r="N258" s="120">
        <v>0.7</v>
      </c>
      <c r="O258" s="49">
        <v>1</v>
      </c>
      <c r="P258" s="121">
        <v>0.5</v>
      </c>
      <c r="Q258" s="49">
        <v>120</v>
      </c>
      <c r="R258" t="s">
        <v>92</v>
      </c>
    </row>
    <row r="259" spans="1:18" x14ac:dyDescent="0.2">
      <c r="A259" t="str">
        <f t="shared" ref="A259:A340" si="4">IF(R259="","",CONCATENATE(R259,"_",Q259))</f>
        <v/>
      </c>
    </row>
    <row r="260" spans="1:18" x14ac:dyDescent="0.2">
      <c r="A260" t="str">
        <f t="shared" si="4"/>
        <v>NGB13_10</v>
      </c>
      <c r="B260" s="120">
        <v>1.4</v>
      </c>
      <c r="C260" s="47">
        <v>1</v>
      </c>
      <c r="D260" s="121">
        <v>1</v>
      </c>
      <c r="E260" s="120">
        <v>10</v>
      </c>
      <c r="F260" s="49">
        <v>1</v>
      </c>
      <c r="G260" s="121">
        <v>1</v>
      </c>
      <c r="H260" s="120">
        <v>2</v>
      </c>
      <c r="I260" s="49">
        <v>1</v>
      </c>
      <c r="J260" s="121">
        <v>1</v>
      </c>
      <c r="K260" s="120">
        <v>1.7</v>
      </c>
      <c r="L260" s="49">
        <v>1</v>
      </c>
      <c r="M260" s="121">
        <v>1</v>
      </c>
      <c r="N260" s="120">
        <v>2</v>
      </c>
      <c r="O260" s="49">
        <v>1</v>
      </c>
      <c r="P260" s="121">
        <v>1</v>
      </c>
      <c r="Q260">
        <v>10</v>
      </c>
      <c r="R260" t="s">
        <v>93</v>
      </c>
    </row>
    <row r="261" spans="1:18" x14ac:dyDescent="0.2">
      <c r="A261" t="str">
        <f t="shared" si="4"/>
        <v>NGB13_20</v>
      </c>
      <c r="B261" s="120">
        <v>1.3</v>
      </c>
      <c r="C261" s="47">
        <v>1</v>
      </c>
      <c r="D261" s="121">
        <v>1</v>
      </c>
      <c r="E261" s="120">
        <v>7.75</v>
      </c>
      <c r="F261" s="49">
        <v>1</v>
      </c>
      <c r="G261" s="121">
        <v>1</v>
      </c>
      <c r="H261" s="120">
        <v>1.75</v>
      </c>
      <c r="I261" s="49">
        <v>1</v>
      </c>
      <c r="J261" s="121">
        <v>1</v>
      </c>
      <c r="K261" s="120">
        <v>1.5249999999999999</v>
      </c>
      <c r="L261" s="49">
        <v>1</v>
      </c>
      <c r="M261" s="121">
        <v>1</v>
      </c>
      <c r="N261" s="120">
        <v>1.75</v>
      </c>
      <c r="O261" s="49">
        <v>1</v>
      </c>
      <c r="P261" s="121">
        <v>1</v>
      </c>
      <c r="Q261">
        <v>20</v>
      </c>
      <c r="R261" t="s">
        <v>93</v>
      </c>
    </row>
    <row r="262" spans="1:18" x14ac:dyDescent="0.2">
      <c r="A262" t="str">
        <f t="shared" si="4"/>
        <v>NGB13_30</v>
      </c>
      <c r="B262" s="120">
        <v>1.2</v>
      </c>
      <c r="C262" s="47">
        <v>1</v>
      </c>
      <c r="D262" s="121">
        <v>1</v>
      </c>
      <c r="E262" s="120">
        <v>5.5</v>
      </c>
      <c r="F262" s="49">
        <v>1</v>
      </c>
      <c r="G262" s="121">
        <v>1</v>
      </c>
      <c r="H262" s="120">
        <v>1.5</v>
      </c>
      <c r="I262" s="49">
        <v>1</v>
      </c>
      <c r="J262" s="121">
        <v>1</v>
      </c>
      <c r="K262" s="120">
        <v>1.35</v>
      </c>
      <c r="L262" s="49">
        <v>1</v>
      </c>
      <c r="M262" s="121">
        <v>1</v>
      </c>
      <c r="N262" s="120">
        <v>1.5</v>
      </c>
      <c r="O262" s="49">
        <v>1</v>
      </c>
      <c r="P262" s="121">
        <v>1</v>
      </c>
      <c r="Q262">
        <v>30</v>
      </c>
      <c r="R262" t="s">
        <v>93</v>
      </c>
    </row>
    <row r="263" spans="1:18" x14ac:dyDescent="0.2">
      <c r="A263" t="str">
        <f t="shared" si="4"/>
        <v>NGB13_40</v>
      </c>
      <c r="B263" s="120">
        <v>1.1000000000000001</v>
      </c>
      <c r="C263" s="47">
        <v>1</v>
      </c>
      <c r="D263" s="121">
        <v>1</v>
      </c>
      <c r="E263" s="120">
        <v>3.25</v>
      </c>
      <c r="F263" s="49">
        <v>1</v>
      </c>
      <c r="G263" s="121">
        <v>1</v>
      </c>
      <c r="H263" s="120">
        <v>1.25</v>
      </c>
      <c r="I263" s="49">
        <v>1</v>
      </c>
      <c r="J263" s="121">
        <v>1</v>
      </c>
      <c r="K263" s="120">
        <v>1.175</v>
      </c>
      <c r="L263" s="49">
        <v>1</v>
      </c>
      <c r="M263" s="121">
        <v>1</v>
      </c>
      <c r="N263" s="120">
        <v>1.25</v>
      </c>
      <c r="O263" s="49">
        <v>1</v>
      </c>
      <c r="P263" s="121">
        <v>1</v>
      </c>
      <c r="Q263">
        <v>40</v>
      </c>
      <c r="R263" t="s">
        <v>93</v>
      </c>
    </row>
    <row r="264" spans="1:18" x14ac:dyDescent="0.2">
      <c r="A264" t="str">
        <f t="shared" si="4"/>
        <v>NGB13_50</v>
      </c>
      <c r="B264" s="120">
        <v>1</v>
      </c>
      <c r="C264" s="47">
        <v>1</v>
      </c>
      <c r="D264" s="121">
        <v>1</v>
      </c>
      <c r="E264" s="120">
        <v>1</v>
      </c>
      <c r="F264" s="49">
        <v>1</v>
      </c>
      <c r="G264" s="121">
        <v>1</v>
      </c>
      <c r="H264" s="120">
        <v>1</v>
      </c>
      <c r="I264" s="49">
        <v>1</v>
      </c>
      <c r="J264" s="121">
        <v>1</v>
      </c>
      <c r="K264" s="120">
        <v>1</v>
      </c>
      <c r="L264" s="49">
        <v>1</v>
      </c>
      <c r="M264" s="121">
        <v>1</v>
      </c>
      <c r="N264" s="120">
        <v>1</v>
      </c>
      <c r="O264" s="49">
        <v>1</v>
      </c>
      <c r="P264" s="121">
        <v>1</v>
      </c>
      <c r="Q264">
        <v>50</v>
      </c>
      <c r="R264" t="s">
        <v>93</v>
      </c>
    </row>
    <row r="265" spans="1:18" x14ac:dyDescent="0.2">
      <c r="A265" t="str">
        <f t="shared" si="4"/>
        <v>NGB13_60</v>
      </c>
      <c r="B265" s="120">
        <v>0.94</v>
      </c>
      <c r="C265" s="47">
        <v>1</v>
      </c>
      <c r="D265" s="121">
        <v>1</v>
      </c>
      <c r="E265" s="120">
        <v>0.94</v>
      </c>
      <c r="F265" s="49">
        <v>1</v>
      </c>
      <c r="G265" s="121">
        <v>1</v>
      </c>
      <c r="H265" s="120">
        <v>0.94</v>
      </c>
      <c r="I265" s="49">
        <v>1</v>
      </c>
      <c r="J265" s="121">
        <v>1</v>
      </c>
      <c r="K265" s="120">
        <v>0.94</v>
      </c>
      <c r="L265" s="49">
        <v>1</v>
      </c>
      <c r="M265" s="121">
        <v>1</v>
      </c>
      <c r="N265" s="120">
        <v>0.94</v>
      </c>
      <c r="O265" s="49">
        <v>1</v>
      </c>
      <c r="P265" s="121">
        <v>1</v>
      </c>
      <c r="Q265">
        <v>60</v>
      </c>
      <c r="R265" t="s">
        <v>93</v>
      </c>
    </row>
    <row r="266" spans="1:18" x14ac:dyDescent="0.2">
      <c r="A266" t="str">
        <f t="shared" si="4"/>
        <v>NGB13_70</v>
      </c>
      <c r="B266" s="120">
        <v>0.88</v>
      </c>
      <c r="C266" s="47">
        <v>1</v>
      </c>
      <c r="D266" s="121">
        <v>1</v>
      </c>
      <c r="E266" s="120">
        <v>0.88</v>
      </c>
      <c r="F266" s="49">
        <v>1</v>
      </c>
      <c r="G266" s="121">
        <v>1</v>
      </c>
      <c r="H266" s="120">
        <v>0.88</v>
      </c>
      <c r="I266" s="49">
        <v>1</v>
      </c>
      <c r="J266" s="121">
        <v>1</v>
      </c>
      <c r="K266" s="120">
        <v>0.88</v>
      </c>
      <c r="L266" s="49">
        <v>1</v>
      </c>
      <c r="M266" s="121">
        <v>1</v>
      </c>
      <c r="N266" s="120">
        <v>0.88</v>
      </c>
      <c r="O266" s="49">
        <v>1</v>
      </c>
      <c r="P266" s="121">
        <v>1</v>
      </c>
      <c r="Q266">
        <v>70</v>
      </c>
      <c r="R266" t="s">
        <v>93</v>
      </c>
    </row>
    <row r="267" spans="1:18" x14ac:dyDescent="0.2">
      <c r="A267" t="str">
        <f t="shared" si="4"/>
        <v>NGB13_75</v>
      </c>
      <c r="B267" s="120">
        <v>0.85</v>
      </c>
      <c r="C267" s="47">
        <v>1</v>
      </c>
      <c r="D267" s="121">
        <v>1</v>
      </c>
      <c r="E267" s="120">
        <v>0.85</v>
      </c>
      <c r="F267" s="49">
        <v>1</v>
      </c>
      <c r="G267" s="121">
        <v>1</v>
      </c>
      <c r="H267" s="120">
        <v>0.85</v>
      </c>
      <c r="I267" s="49">
        <v>1</v>
      </c>
      <c r="J267" s="121">
        <v>1</v>
      </c>
      <c r="K267" s="120">
        <v>0.85</v>
      </c>
      <c r="L267" s="49">
        <v>1</v>
      </c>
      <c r="M267" s="121">
        <v>1</v>
      </c>
      <c r="N267" s="120">
        <v>0.85</v>
      </c>
      <c r="O267" s="49">
        <v>1</v>
      </c>
      <c r="P267" s="121">
        <v>1</v>
      </c>
      <c r="Q267">
        <v>75</v>
      </c>
      <c r="R267" t="s">
        <v>93</v>
      </c>
    </row>
    <row r="268" spans="1:18" x14ac:dyDescent="0.2">
      <c r="A268" t="str">
        <f t="shared" si="4"/>
        <v>NGB13_80</v>
      </c>
      <c r="B268" s="120">
        <v>0.82</v>
      </c>
      <c r="C268" s="47">
        <v>1</v>
      </c>
      <c r="D268" s="121">
        <v>1</v>
      </c>
      <c r="E268" s="120">
        <v>0.82</v>
      </c>
      <c r="F268" s="49">
        <v>1</v>
      </c>
      <c r="G268" s="121">
        <v>1</v>
      </c>
      <c r="H268" s="120">
        <v>0.82</v>
      </c>
      <c r="I268" s="49">
        <v>1</v>
      </c>
      <c r="J268" s="121">
        <v>1</v>
      </c>
      <c r="K268" s="120">
        <v>0.82</v>
      </c>
      <c r="L268" s="49">
        <v>1</v>
      </c>
      <c r="M268" s="121">
        <v>1</v>
      </c>
      <c r="N268" s="120">
        <v>0.82</v>
      </c>
      <c r="O268" s="49">
        <v>1</v>
      </c>
      <c r="P268" s="121">
        <v>1</v>
      </c>
      <c r="Q268">
        <v>80</v>
      </c>
      <c r="R268" t="s">
        <v>93</v>
      </c>
    </row>
    <row r="269" spans="1:18" x14ac:dyDescent="0.2">
      <c r="A269" t="str">
        <f t="shared" si="4"/>
        <v>NGB13_90</v>
      </c>
      <c r="B269" s="120">
        <v>0.76</v>
      </c>
      <c r="C269" s="47">
        <v>1</v>
      </c>
      <c r="D269" s="121">
        <v>1</v>
      </c>
      <c r="E269" s="120">
        <v>0.76</v>
      </c>
      <c r="F269" s="49">
        <v>1</v>
      </c>
      <c r="G269" s="121">
        <v>1</v>
      </c>
      <c r="H269" s="120">
        <v>0.76</v>
      </c>
      <c r="I269" s="49">
        <v>1</v>
      </c>
      <c r="J269" s="121">
        <v>1</v>
      </c>
      <c r="K269" s="120">
        <v>0.76</v>
      </c>
      <c r="L269" s="49">
        <v>1</v>
      </c>
      <c r="M269" s="121">
        <v>1</v>
      </c>
      <c r="N269" s="120">
        <v>0.76</v>
      </c>
      <c r="O269" s="49">
        <v>1</v>
      </c>
      <c r="P269" s="121">
        <v>1</v>
      </c>
      <c r="Q269">
        <v>90</v>
      </c>
      <c r="R269" t="s">
        <v>93</v>
      </c>
    </row>
    <row r="270" spans="1:18" x14ac:dyDescent="0.2">
      <c r="A270" t="str">
        <f t="shared" si="4"/>
        <v>NGB13_100</v>
      </c>
      <c r="B270" s="120">
        <v>0.7</v>
      </c>
      <c r="C270" s="47">
        <v>1</v>
      </c>
      <c r="D270" s="121">
        <v>1</v>
      </c>
      <c r="E270" s="120">
        <v>0.7</v>
      </c>
      <c r="F270" s="49">
        <v>1</v>
      </c>
      <c r="G270" s="121">
        <v>1</v>
      </c>
      <c r="H270" s="120">
        <v>0.7</v>
      </c>
      <c r="I270" s="49">
        <v>1</v>
      </c>
      <c r="J270" s="121">
        <v>1</v>
      </c>
      <c r="K270" s="120">
        <v>0.7</v>
      </c>
      <c r="L270" s="49">
        <v>1</v>
      </c>
      <c r="M270" s="121">
        <v>1</v>
      </c>
      <c r="N270" s="120">
        <v>0.7</v>
      </c>
      <c r="O270" s="49">
        <v>1</v>
      </c>
      <c r="P270" s="121">
        <v>1</v>
      </c>
      <c r="Q270">
        <v>100</v>
      </c>
      <c r="R270" t="s">
        <v>93</v>
      </c>
    </row>
    <row r="271" spans="1:18" x14ac:dyDescent="0.2">
      <c r="A271" t="str">
        <f t="shared" si="4"/>
        <v/>
      </c>
    </row>
    <row r="272" spans="1:18" x14ac:dyDescent="0.2">
      <c r="A272" t="str">
        <f t="shared" si="4"/>
        <v>NBV18_0</v>
      </c>
      <c r="B272" s="120">
        <v>1.4</v>
      </c>
      <c r="C272" s="47">
        <v>1</v>
      </c>
      <c r="D272" s="121">
        <v>1</v>
      </c>
      <c r="E272" s="120">
        <v>0</v>
      </c>
      <c r="F272" s="49">
        <v>0</v>
      </c>
      <c r="G272" s="121">
        <v>0</v>
      </c>
      <c r="H272" s="120">
        <v>2</v>
      </c>
      <c r="I272" s="47">
        <v>1</v>
      </c>
      <c r="J272" s="121">
        <v>1</v>
      </c>
      <c r="K272" s="120">
        <v>1.7</v>
      </c>
      <c r="L272" s="47">
        <v>1</v>
      </c>
      <c r="M272" s="121">
        <v>1</v>
      </c>
      <c r="N272" s="120">
        <v>2</v>
      </c>
      <c r="O272" s="47">
        <v>1</v>
      </c>
      <c r="P272" s="121">
        <v>1</v>
      </c>
      <c r="Q272">
        <v>0</v>
      </c>
      <c r="R272" t="s">
        <v>94</v>
      </c>
    </row>
    <row r="273" spans="1:18" x14ac:dyDescent="0.2">
      <c r="A273" t="str">
        <f t="shared" si="4"/>
        <v>NBV18_30</v>
      </c>
      <c r="B273" s="120">
        <v>1.1000000000000001</v>
      </c>
      <c r="C273" s="49">
        <v>1</v>
      </c>
      <c r="D273" s="121">
        <v>1</v>
      </c>
      <c r="E273" s="120">
        <v>0</v>
      </c>
      <c r="F273" s="49">
        <v>0</v>
      </c>
      <c r="G273" s="121">
        <v>0</v>
      </c>
      <c r="H273" s="120">
        <v>1.25</v>
      </c>
      <c r="I273" s="49">
        <v>1</v>
      </c>
      <c r="J273" s="121">
        <v>1</v>
      </c>
      <c r="K273" s="120">
        <v>1.175</v>
      </c>
      <c r="L273" s="49">
        <v>1</v>
      </c>
      <c r="M273" s="121">
        <v>1</v>
      </c>
      <c r="N273" s="120">
        <v>1.25</v>
      </c>
      <c r="O273" s="49">
        <v>1</v>
      </c>
      <c r="P273" s="121">
        <v>1</v>
      </c>
      <c r="Q273" s="49">
        <v>30</v>
      </c>
      <c r="R273" t="s">
        <v>94</v>
      </c>
    </row>
    <row r="274" spans="1:18" x14ac:dyDescent="0.2">
      <c r="A274" t="str">
        <f t="shared" si="4"/>
        <v>NBV18_40</v>
      </c>
      <c r="B274" s="120">
        <v>1</v>
      </c>
      <c r="C274" s="47">
        <v>1</v>
      </c>
      <c r="D274" s="121">
        <v>1</v>
      </c>
      <c r="E274" s="120">
        <v>0</v>
      </c>
      <c r="F274" s="49">
        <v>0</v>
      </c>
      <c r="G274" s="121">
        <v>0</v>
      </c>
      <c r="H274" s="120">
        <v>1</v>
      </c>
      <c r="I274" s="47">
        <v>1</v>
      </c>
      <c r="J274" s="121">
        <v>1</v>
      </c>
      <c r="K274" s="120">
        <v>1</v>
      </c>
      <c r="L274" s="47">
        <v>1</v>
      </c>
      <c r="M274" s="121">
        <v>1</v>
      </c>
      <c r="N274" s="120">
        <v>1</v>
      </c>
      <c r="O274" s="47">
        <v>1</v>
      </c>
      <c r="P274" s="121">
        <v>1</v>
      </c>
      <c r="Q274">
        <v>40</v>
      </c>
      <c r="R274" t="s">
        <v>94</v>
      </c>
    </row>
    <row r="275" spans="1:18" x14ac:dyDescent="0.2">
      <c r="A275" t="str">
        <f t="shared" si="4"/>
        <v>NBV18_60</v>
      </c>
      <c r="B275" s="120">
        <v>0.85</v>
      </c>
      <c r="C275" s="49">
        <v>1</v>
      </c>
      <c r="D275" s="121">
        <v>1</v>
      </c>
      <c r="E275" s="120">
        <v>0</v>
      </c>
      <c r="F275" s="49">
        <v>0</v>
      </c>
      <c r="G275" s="121">
        <v>0</v>
      </c>
      <c r="H275" s="120">
        <v>0.85</v>
      </c>
      <c r="I275" s="49">
        <v>1</v>
      </c>
      <c r="J275" s="121">
        <v>1</v>
      </c>
      <c r="K275" s="120">
        <v>0.85</v>
      </c>
      <c r="L275" s="49">
        <v>1</v>
      </c>
      <c r="M275" s="121">
        <v>1</v>
      </c>
      <c r="N275" s="120">
        <v>0.85</v>
      </c>
      <c r="O275" s="49">
        <v>1</v>
      </c>
      <c r="P275" s="121">
        <v>1</v>
      </c>
      <c r="Q275" s="49">
        <v>60</v>
      </c>
      <c r="R275" t="s">
        <v>94</v>
      </c>
    </row>
    <row r="276" spans="1:18" x14ac:dyDescent="0.2">
      <c r="A276" t="str">
        <f t="shared" si="4"/>
        <v>NBV18_80</v>
      </c>
      <c r="B276" s="120">
        <v>0.7</v>
      </c>
      <c r="C276" s="47">
        <v>1</v>
      </c>
      <c r="D276" s="121">
        <v>1</v>
      </c>
      <c r="E276" s="120">
        <v>0</v>
      </c>
      <c r="F276" s="49">
        <v>0</v>
      </c>
      <c r="G276" s="121">
        <v>0</v>
      </c>
      <c r="H276" s="120">
        <v>0.7</v>
      </c>
      <c r="I276" s="47">
        <v>1</v>
      </c>
      <c r="J276" s="121">
        <v>1</v>
      </c>
      <c r="K276" s="120">
        <v>0.7</v>
      </c>
      <c r="L276" s="47">
        <v>1</v>
      </c>
      <c r="M276" s="121">
        <v>1</v>
      </c>
      <c r="N276" s="120">
        <v>0.7</v>
      </c>
      <c r="O276" s="47">
        <v>1</v>
      </c>
      <c r="P276" s="121">
        <v>1</v>
      </c>
      <c r="Q276">
        <v>80</v>
      </c>
      <c r="R276" t="s">
        <v>94</v>
      </c>
    </row>
    <row r="277" spans="1:18" x14ac:dyDescent="0.2">
      <c r="A277" t="str">
        <f t="shared" si="4"/>
        <v>NBV18_100</v>
      </c>
      <c r="B277" s="120">
        <v>0.55000000000000004</v>
      </c>
      <c r="C277" s="47">
        <v>1</v>
      </c>
      <c r="D277" s="121">
        <v>1</v>
      </c>
      <c r="E277" s="120">
        <v>0</v>
      </c>
      <c r="F277" s="49">
        <v>0</v>
      </c>
      <c r="G277" s="121">
        <v>0</v>
      </c>
      <c r="H277" s="120">
        <v>0.55000000000000004</v>
      </c>
      <c r="I277" s="47">
        <v>1</v>
      </c>
      <c r="J277" s="121">
        <v>1</v>
      </c>
      <c r="K277" s="120">
        <v>0.55000000000000004</v>
      </c>
      <c r="L277" s="47">
        <v>1</v>
      </c>
      <c r="M277" s="121">
        <v>1</v>
      </c>
      <c r="N277" s="120">
        <v>0.55000000000000004</v>
      </c>
      <c r="O277" s="47">
        <v>1</v>
      </c>
      <c r="P277" s="121">
        <v>1</v>
      </c>
      <c r="Q277">
        <v>100</v>
      </c>
      <c r="R277" t="s">
        <v>94</v>
      </c>
    </row>
    <row r="278" spans="1:18" x14ac:dyDescent="0.2">
      <c r="A278" t="str">
        <f t="shared" si="4"/>
        <v/>
      </c>
    </row>
    <row r="279" spans="1:18" x14ac:dyDescent="0.2">
      <c r="A279" t="str">
        <f t="shared" si="4"/>
        <v>NBI18_0</v>
      </c>
      <c r="B279" s="120">
        <v>1.4</v>
      </c>
      <c r="C279" s="47">
        <v>1</v>
      </c>
      <c r="D279" s="121">
        <v>1</v>
      </c>
      <c r="E279" s="120">
        <v>0</v>
      </c>
      <c r="F279" s="49">
        <v>0</v>
      </c>
      <c r="G279" s="121">
        <v>0</v>
      </c>
      <c r="H279" s="120">
        <v>2</v>
      </c>
      <c r="I279" s="47">
        <v>1</v>
      </c>
      <c r="J279" s="121">
        <v>1</v>
      </c>
      <c r="K279" s="120">
        <v>1.7</v>
      </c>
      <c r="L279" s="47">
        <v>1</v>
      </c>
      <c r="M279" s="121">
        <v>1</v>
      </c>
      <c r="N279" s="120">
        <v>2</v>
      </c>
      <c r="O279" s="47">
        <v>1</v>
      </c>
      <c r="P279" s="121">
        <v>1</v>
      </c>
      <c r="Q279">
        <v>0</v>
      </c>
      <c r="R279" t="s">
        <v>95</v>
      </c>
    </row>
    <row r="280" spans="1:18" x14ac:dyDescent="0.2">
      <c r="A280" t="str">
        <f t="shared" si="4"/>
        <v>NBI18_30</v>
      </c>
      <c r="B280" s="120">
        <v>1.1000000000000001</v>
      </c>
      <c r="C280" s="49">
        <v>1</v>
      </c>
      <c r="D280" s="121">
        <v>1</v>
      </c>
      <c r="E280" s="120">
        <v>0</v>
      </c>
      <c r="F280" s="49">
        <v>0</v>
      </c>
      <c r="G280" s="121">
        <v>0</v>
      </c>
      <c r="H280" s="120">
        <v>1.25</v>
      </c>
      <c r="I280" s="49">
        <v>1</v>
      </c>
      <c r="J280" s="121">
        <v>1</v>
      </c>
      <c r="K280" s="120">
        <v>1.175</v>
      </c>
      <c r="L280" s="49">
        <v>1</v>
      </c>
      <c r="M280" s="121">
        <v>1</v>
      </c>
      <c r="N280" s="120">
        <v>1.25</v>
      </c>
      <c r="O280" s="49">
        <v>1</v>
      </c>
      <c r="P280" s="121">
        <v>1</v>
      </c>
      <c r="Q280">
        <v>30</v>
      </c>
      <c r="R280" t="s">
        <v>95</v>
      </c>
    </row>
    <row r="281" spans="1:18" x14ac:dyDescent="0.2">
      <c r="A281" t="str">
        <f t="shared" si="4"/>
        <v>NBI18_40</v>
      </c>
      <c r="B281" s="120">
        <v>1</v>
      </c>
      <c r="C281" s="47">
        <v>1</v>
      </c>
      <c r="D281" s="121">
        <v>1</v>
      </c>
      <c r="E281" s="120">
        <v>0</v>
      </c>
      <c r="F281" s="49">
        <v>0</v>
      </c>
      <c r="G281" s="121">
        <v>0</v>
      </c>
      <c r="H281" s="120">
        <v>1</v>
      </c>
      <c r="I281" s="47">
        <v>1</v>
      </c>
      <c r="J281" s="121">
        <v>1</v>
      </c>
      <c r="K281" s="120">
        <v>1</v>
      </c>
      <c r="L281" s="47">
        <v>1</v>
      </c>
      <c r="M281" s="121">
        <v>1</v>
      </c>
      <c r="N281" s="120">
        <v>1</v>
      </c>
      <c r="O281" s="47">
        <v>1</v>
      </c>
      <c r="P281" s="121">
        <v>1</v>
      </c>
      <c r="Q281">
        <v>40</v>
      </c>
      <c r="R281" t="s">
        <v>95</v>
      </c>
    </row>
    <row r="282" spans="1:18" x14ac:dyDescent="0.2">
      <c r="A282" t="str">
        <f t="shared" si="4"/>
        <v>NBI18_60</v>
      </c>
      <c r="B282" s="120">
        <v>0.85</v>
      </c>
      <c r="C282" s="49">
        <v>1</v>
      </c>
      <c r="D282" s="121">
        <v>1</v>
      </c>
      <c r="E282" s="120">
        <v>0</v>
      </c>
      <c r="F282" s="49">
        <v>0</v>
      </c>
      <c r="G282" s="121">
        <v>0</v>
      </c>
      <c r="H282" s="120">
        <v>0.85</v>
      </c>
      <c r="I282" s="49">
        <v>1</v>
      </c>
      <c r="J282" s="121">
        <v>1</v>
      </c>
      <c r="K282" s="120">
        <v>0.85</v>
      </c>
      <c r="L282" s="49">
        <v>1</v>
      </c>
      <c r="M282" s="121">
        <v>1</v>
      </c>
      <c r="N282" s="120">
        <v>0.85</v>
      </c>
      <c r="O282" s="49">
        <v>1</v>
      </c>
      <c r="P282" s="121">
        <v>1</v>
      </c>
      <c r="Q282">
        <v>60</v>
      </c>
      <c r="R282" t="s">
        <v>95</v>
      </c>
    </row>
    <row r="283" spans="1:18" x14ac:dyDescent="0.2">
      <c r="A283" t="str">
        <f t="shared" si="4"/>
        <v>NBI18_80</v>
      </c>
      <c r="B283" s="120">
        <v>0.7</v>
      </c>
      <c r="C283" s="47">
        <v>1</v>
      </c>
      <c r="D283" s="121">
        <v>1</v>
      </c>
      <c r="E283" s="120">
        <v>0</v>
      </c>
      <c r="F283" s="49">
        <v>0</v>
      </c>
      <c r="G283" s="121">
        <v>0</v>
      </c>
      <c r="H283" s="120">
        <v>0.7</v>
      </c>
      <c r="I283" s="47">
        <v>1</v>
      </c>
      <c r="J283" s="121">
        <v>1</v>
      </c>
      <c r="K283" s="120">
        <v>0.7</v>
      </c>
      <c r="L283" s="47">
        <v>1</v>
      </c>
      <c r="M283" s="121">
        <v>1</v>
      </c>
      <c r="N283" s="120">
        <v>0.7</v>
      </c>
      <c r="O283" s="47">
        <v>1</v>
      </c>
      <c r="P283" s="121">
        <v>1</v>
      </c>
      <c r="Q283">
        <v>80</v>
      </c>
      <c r="R283" t="s">
        <v>95</v>
      </c>
    </row>
    <row r="284" spans="1:18" x14ac:dyDescent="0.2">
      <c r="A284" t="str">
        <f t="shared" si="4"/>
        <v>NBI18_100</v>
      </c>
      <c r="B284" s="120">
        <v>0.55000000000000004</v>
      </c>
      <c r="C284" s="47">
        <v>1</v>
      </c>
      <c r="D284" s="121">
        <v>1</v>
      </c>
      <c r="E284" s="120">
        <v>0</v>
      </c>
      <c r="F284" s="49">
        <v>0</v>
      </c>
      <c r="G284" s="121">
        <v>0</v>
      </c>
      <c r="H284" s="120">
        <v>0.55000000000000004</v>
      </c>
      <c r="I284" s="47">
        <v>1</v>
      </c>
      <c r="J284" s="121">
        <v>1</v>
      </c>
      <c r="K284" s="120">
        <v>0.55000000000000004</v>
      </c>
      <c r="L284" s="47">
        <v>1</v>
      </c>
      <c r="M284" s="121">
        <v>1</v>
      </c>
      <c r="N284" s="120">
        <v>0.55000000000000004</v>
      </c>
      <c r="O284" s="47">
        <v>1</v>
      </c>
      <c r="P284" s="121">
        <v>1</v>
      </c>
      <c r="Q284">
        <v>100</v>
      </c>
      <c r="R284" t="s">
        <v>95</v>
      </c>
    </row>
    <row r="285" spans="1:18" x14ac:dyDescent="0.2">
      <c r="A285" t="str">
        <f t="shared" si="4"/>
        <v/>
      </c>
    </row>
    <row r="286" spans="1:18" x14ac:dyDescent="0.2">
      <c r="A286" t="str">
        <f t="shared" si="4"/>
        <v>NWO18_0</v>
      </c>
      <c r="B286" s="120">
        <v>1.4</v>
      </c>
      <c r="C286" s="47">
        <v>1</v>
      </c>
      <c r="D286" s="121">
        <v>1</v>
      </c>
      <c r="E286" s="120">
        <v>0</v>
      </c>
      <c r="F286" s="49">
        <v>0</v>
      </c>
      <c r="G286" s="121">
        <v>0</v>
      </c>
      <c r="H286" s="120">
        <v>2</v>
      </c>
      <c r="I286" s="47">
        <v>1</v>
      </c>
      <c r="J286" s="121">
        <v>1</v>
      </c>
      <c r="K286" s="120">
        <v>1.7</v>
      </c>
      <c r="L286" s="47">
        <v>1</v>
      </c>
      <c r="M286" s="121">
        <v>1</v>
      </c>
      <c r="N286" s="120">
        <v>2</v>
      </c>
      <c r="O286" s="47">
        <v>1</v>
      </c>
      <c r="P286" s="121">
        <v>1</v>
      </c>
      <c r="Q286">
        <v>0</v>
      </c>
      <c r="R286" t="s">
        <v>96</v>
      </c>
    </row>
    <row r="287" spans="1:18" x14ac:dyDescent="0.2">
      <c r="A287" t="str">
        <f t="shared" si="4"/>
        <v>NWO18_30</v>
      </c>
      <c r="B287" s="120">
        <v>1.1000000000000001</v>
      </c>
      <c r="C287" s="49">
        <v>1</v>
      </c>
      <c r="D287" s="121">
        <v>1</v>
      </c>
      <c r="E287" s="120">
        <v>0</v>
      </c>
      <c r="F287" s="49">
        <v>0</v>
      </c>
      <c r="G287" s="121">
        <v>0</v>
      </c>
      <c r="H287" s="120">
        <v>1.25</v>
      </c>
      <c r="I287" s="49">
        <v>1</v>
      </c>
      <c r="J287" s="121">
        <v>1</v>
      </c>
      <c r="K287" s="120">
        <v>1.175</v>
      </c>
      <c r="L287" s="49">
        <v>1</v>
      </c>
      <c r="M287" s="121">
        <v>1</v>
      </c>
      <c r="N287" s="120">
        <v>1.25</v>
      </c>
      <c r="O287" s="49">
        <v>1</v>
      </c>
      <c r="P287" s="121">
        <v>1</v>
      </c>
      <c r="Q287">
        <v>30</v>
      </c>
      <c r="R287" t="s">
        <v>96</v>
      </c>
    </row>
    <row r="288" spans="1:18" x14ac:dyDescent="0.2">
      <c r="A288" t="str">
        <f t="shared" si="4"/>
        <v>NWO18_40</v>
      </c>
      <c r="B288" s="120">
        <v>1</v>
      </c>
      <c r="C288" s="47">
        <v>1</v>
      </c>
      <c r="D288" s="121">
        <v>1</v>
      </c>
      <c r="E288" s="120">
        <v>0</v>
      </c>
      <c r="F288" s="49">
        <v>0</v>
      </c>
      <c r="G288" s="121">
        <v>0</v>
      </c>
      <c r="H288" s="120">
        <v>1</v>
      </c>
      <c r="I288" s="47">
        <v>1</v>
      </c>
      <c r="J288" s="121">
        <v>1</v>
      </c>
      <c r="K288" s="120">
        <v>1</v>
      </c>
      <c r="L288" s="47">
        <v>1</v>
      </c>
      <c r="M288" s="121">
        <v>1</v>
      </c>
      <c r="N288" s="120">
        <v>1</v>
      </c>
      <c r="O288" s="47">
        <v>1</v>
      </c>
      <c r="P288" s="121">
        <v>1</v>
      </c>
      <c r="Q288">
        <v>40</v>
      </c>
      <c r="R288" t="s">
        <v>96</v>
      </c>
    </row>
    <row r="289" spans="1:18" x14ac:dyDescent="0.2">
      <c r="A289" t="str">
        <f t="shared" si="4"/>
        <v>NWO18_60</v>
      </c>
      <c r="B289" s="120">
        <v>0.85</v>
      </c>
      <c r="C289" s="49">
        <v>1</v>
      </c>
      <c r="D289" s="121">
        <v>1</v>
      </c>
      <c r="E289" s="120">
        <v>0</v>
      </c>
      <c r="F289" s="49">
        <v>0</v>
      </c>
      <c r="G289" s="121">
        <v>0</v>
      </c>
      <c r="H289" s="120">
        <v>0.85</v>
      </c>
      <c r="I289" s="49">
        <v>1</v>
      </c>
      <c r="J289" s="121">
        <v>1</v>
      </c>
      <c r="K289" s="120">
        <v>0.85</v>
      </c>
      <c r="L289" s="49">
        <v>1</v>
      </c>
      <c r="M289" s="121">
        <v>1</v>
      </c>
      <c r="N289" s="120">
        <v>0.85</v>
      </c>
      <c r="O289" s="49">
        <v>1</v>
      </c>
      <c r="P289" s="121">
        <v>1</v>
      </c>
      <c r="Q289">
        <v>60</v>
      </c>
      <c r="R289" t="s">
        <v>96</v>
      </c>
    </row>
    <row r="290" spans="1:18" x14ac:dyDescent="0.2">
      <c r="A290" t="str">
        <f t="shared" si="4"/>
        <v>NWO18_80</v>
      </c>
      <c r="B290" s="120">
        <v>0.7</v>
      </c>
      <c r="C290" s="47">
        <v>1</v>
      </c>
      <c r="D290" s="121">
        <v>1</v>
      </c>
      <c r="E290" s="120">
        <v>0</v>
      </c>
      <c r="F290" s="49">
        <v>0</v>
      </c>
      <c r="G290" s="121">
        <v>0</v>
      </c>
      <c r="H290" s="120">
        <v>0.7</v>
      </c>
      <c r="I290" s="47">
        <v>1</v>
      </c>
      <c r="J290" s="121">
        <v>1</v>
      </c>
      <c r="K290" s="120">
        <v>0.7</v>
      </c>
      <c r="L290" s="47">
        <v>1</v>
      </c>
      <c r="M290" s="121">
        <v>1</v>
      </c>
      <c r="N290" s="120">
        <v>0.7</v>
      </c>
      <c r="O290" s="47">
        <v>1</v>
      </c>
      <c r="P290" s="121">
        <v>1</v>
      </c>
      <c r="Q290">
        <v>80</v>
      </c>
      <c r="R290" t="s">
        <v>96</v>
      </c>
    </row>
    <row r="291" spans="1:18" x14ac:dyDescent="0.2">
      <c r="A291" t="str">
        <f t="shared" si="4"/>
        <v>NWO18_100</v>
      </c>
      <c r="B291" s="120">
        <v>0.55000000000000004</v>
      </c>
      <c r="C291" s="47">
        <v>1</v>
      </c>
      <c r="D291" s="121">
        <v>1</v>
      </c>
      <c r="E291" s="120">
        <v>0</v>
      </c>
      <c r="F291" s="49">
        <v>0</v>
      </c>
      <c r="G291" s="121">
        <v>0</v>
      </c>
      <c r="H291" s="120">
        <v>0.55000000000000004</v>
      </c>
      <c r="I291" s="47">
        <v>1</v>
      </c>
      <c r="J291" s="121">
        <v>1</v>
      </c>
      <c r="K291" s="120">
        <v>0.55000000000000004</v>
      </c>
      <c r="L291" s="47">
        <v>1</v>
      </c>
      <c r="M291" s="121">
        <v>1</v>
      </c>
      <c r="N291" s="120">
        <v>0.55000000000000004</v>
      </c>
      <c r="O291" s="47">
        <v>1</v>
      </c>
      <c r="P291" s="121">
        <v>1</v>
      </c>
      <c r="Q291">
        <v>100</v>
      </c>
      <c r="R291" t="s">
        <v>96</v>
      </c>
    </row>
    <row r="292" spans="1:18" x14ac:dyDescent="0.2">
      <c r="A292" t="str">
        <f t="shared" si="4"/>
        <v/>
      </c>
    </row>
    <row r="293" spans="1:18" x14ac:dyDescent="0.2">
      <c r="A293" t="str">
        <f t="shared" si="4"/>
        <v>NHO18_0</v>
      </c>
      <c r="B293" s="120">
        <v>1.4</v>
      </c>
      <c r="C293" s="47">
        <v>1</v>
      </c>
      <c r="D293" s="121">
        <v>1</v>
      </c>
      <c r="E293" s="120">
        <v>0</v>
      </c>
      <c r="F293" s="49">
        <v>0</v>
      </c>
      <c r="G293" s="121">
        <v>0</v>
      </c>
      <c r="H293" s="120">
        <v>2</v>
      </c>
      <c r="I293" s="47">
        <v>1</v>
      </c>
      <c r="J293" s="121">
        <v>1</v>
      </c>
      <c r="K293" s="120">
        <v>1.7</v>
      </c>
      <c r="L293" s="47">
        <v>1</v>
      </c>
      <c r="M293" s="121">
        <v>1</v>
      </c>
      <c r="N293" s="120">
        <v>2</v>
      </c>
      <c r="O293" s="47">
        <v>1</v>
      </c>
      <c r="P293" s="121">
        <v>1</v>
      </c>
      <c r="Q293">
        <v>0</v>
      </c>
      <c r="R293" t="s">
        <v>97</v>
      </c>
    </row>
    <row r="294" spans="1:18" x14ac:dyDescent="0.2">
      <c r="A294" t="str">
        <f t="shared" si="4"/>
        <v>NHO18_30</v>
      </c>
      <c r="B294" s="120">
        <v>1.1000000000000001</v>
      </c>
      <c r="C294" s="49">
        <v>1</v>
      </c>
      <c r="D294" s="121">
        <v>1</v>
      </c>
      <c r="E294" s="120">
        <v>0</v>
      </c>
      <c r="F294" s="49">
        <v>0</v>
      </c>
      <c r="G294" s="121">
        <v>0</v>
      </c>
      <c r="H294" s="120">
        <v>1.25</v>
      </c>
      <c r="I294" s="49">
        <v>1</v>
      </c>
      <c r="J294" s="121">
        <v>1</v>
      </c>
      <c r="K294" s="120">
        <v>1.175</v>
      </c>
      <c r="L294" s="49">
        <v>1</v>
      </c>
      <c r="M294" s="121">
        <v>1</v>
      </c>
      <c r="N294" s="120">
        <v>1.25</v>
      </c>
      <c r="O294" s="49">
        <v>1</v>
      </c>
      <c r="P294" s="121">
        <v>1</v>
      </c>
      <c r="Q294">
        <v>30</v>
      </c>
      <c r="R294" t="s">
        <v>97</v>
      </c>
    </row>
    <row r="295" spans="1:18" x14ac:dyDescent="0.2">
      <c r="A295" t="str">
        <f t="shared" si="4"/>
        <v>NHO18_40</v>
      </c>
      <c r="B295" s="120">
        <v>1</v>
      </c>
      <c r="C295" s="47">
        <v>1</v>
      </c>
      <c r="D295" s="121">
        <v>1</v>
      </c>
      <c r="E295" s="120">
        <v>0</v>
      </c>
      <c r="F295" s="49">
        <v>0</v>
      </c>
      <c r="G295" s="121">
        <v>0</v>
      </c>
      <c r="H295" s="120">
        <v>1</v>
      </c>
      <c r="I295" s="47">
        <v>1</v>
      </c>
      <c r="J295" s="121">
        <v>1</v>
      </c>
      <c r="K295" s="120">
        <v>1</v>
      </c>
      <c r="L295" s="47">
        <v>1</v>
      </c>
      <c r="M295" s="121">
        <v>1</v>
      </c>
      <c r="N295" s="120">
        <v>1</v>
      </c>
      <c r="O295" s="47">
        <v>1</v>
      </c>
      <c r="P295" s="121">
        <v>1</v>
      </c>
      <c r="Q295">
        <v>40</v>
      </c>
      <c r="R295" t="s">
        <v>97</v>
      </c>
    </row>
    <row r="296" spans="1:18" x14ac:dyDescent="0.2">
      <c r="A296" t="str">
        <f t="shared" si="4"/>
        <v>NHO18_60</v>
      </c>
      <c r="B296" s="120">
        <v>0.85</v>
      </c>
      <c r="C296" s="49">
        <v>1</v>
      </c>
      <c r="D296" s="121">
        <v>1</v>
      </c>
      <c r="E296" s="120">
        <v>0</v>
      </c>
      <c r="F296" s="49">
        <v>0</v>
      </c>
      <c r="G296" s="121">
        <v>0</v>
      </c>
      <c r="H296" s="120">
        <v>0.85</v>
      </c>
      <c r="I296" s="49">
        <v>1</v>
      </c>
      <c r="J296" s="121">
        <v>1</v>
      </c>
      <c r="K296" s="120">
        <v>0.85</v>
      </c>
      <c r="L296" s="49">
        <v>1</v>
      </c>
      <c r="M296" s="121">
        <v>1</v>
      </c>
      <c r="N296" s="120">
        <v>0.85</v>
      </c>
      <c r="O296" s="49">
        <v>1</v>
      </c>
      <c r="P296" s="121">
        <v>1</v>
      </c>
      <c r="Q296">
        <v>60</v>
      </c>
      <c r="R296" t="s">
        <v>97</v>
      </c>
    </row>
    <row r="297" spans="1:18" x14ac:dyDescent="0.2">
      <c r="A297" t="str">
        <f t="shared" si="4"/>
        <v>NHO18_80</v>
      </c>
      <c r="B297" s="120">
        <v>0.7</v>
      </c>
      <c r="C297" s="47">
        <v>1</v>
      </c>
      <c r="D297" s="121">
        <v>1</v>
      </c>
      <c r="E297" s="120">
        <v>0</v>
      </c>
      <c r="F297" s="49">
        <v>0</v>
      </c>
      <c r="G297" s="121">
        <v>0</v>
      </c>
      <c r="H297" s="120">
        <v>0.7</v>
      </c>
      <c r="I297" s="47">
        <v>1</v>
      </c>
      <c r="J297" s="121">
        <v>1</v>
      </c>
      <c r="K297" s="120">
        <v>0.7</v>
      </c>
      <c r="L297" s="47">
        <v>1</v>
      </c>
      <c r="M297" s="121">
        <v>1</v>
      </c>
      <c r="N297" s="120">
        <v>0.7</v>
      </c>
      <c r="O297" s="47">
        <v>1</v>
      </c>
      <c r="P297" s="121">
        <v>1</v>
      </c>
      <c r="Q297">
        <v>80</v>
      </c>
      <c r="R297" t="s">
        <v>97</v>
      </c>
    </row>
    <row r="298" spans="1:18" x14ac:dyDescent="0.2">
      <c r="A298" t="str">
        <f t="shared" si="4"/>
        <v>NHO18_100</v>
      </c>
      <c r="B298" s="120">
        <v>0.55000000000000004</v>
      </c>
      <c r="C298" s="47">
        <v>1</v>
      </c>
      <c r="D298" s="121">
        <v>1</v>
      </c>
      <c r="E298" s="120">
        <v>0</v>
      </c>
      <c r="F298" s="49">
        <v>0</v>
      </c>
      <c r="G298" s="121">
        <v>0</v>
      </c>
      <c r="H298" s="120">
        <v>0.55000000000000004</v>
      </c>
      <c r="I298" s="47">
        <v>1</v>
      </c>
      <c r="J298" s="121">
        <v>1</v>
      </c>
      <c r="K298" s="120">
        <v>0.55000000000000004</v>
      </c>
      <c r="L298" s="47">
        <v>1</v>
      </c>
      <c r="M298" s="121">
        <v>1</v>
      </c>
      <c r="N298" s="120">
        <v>0.55000000000000004</v>
      </c>
      <c r="O298" s="47">
        <v>1</v>
      </c>
      <c r="P298" s="121">
        <v>1</v>
      </c>
      <c r="Q298">
        <v>100</v>
      </c>
      <c r="R298" t="s">
        <v>97</v>
      </c>
    </row>
    <row r="299" spans="1:18" x14ac:dyDescent="0.2">
      <c r="A299" t="str">
        <f t="shared" si="4"/>
        <v/>
      </c>
    </row>
    <row r="300" spans="1:18" x14ac:dyDescent="0.2">
      <c r="A300" t="str">
        <f t="shared" si="4"/>
        <v>NVM18_0</v>
      </c>
      <c r="B300" s="120">
        <v>1.4</v>
      </c>
      <c r="C300" s="47">
        <v>1</v>
      </c>
      <c r="D300" s="121">
        <v>1</v>
      </c>
      <c r="E300" s="120">
        <v>0</v>
      </c>
      <c r="F300" s="49">
        <v>0</v>
      </c>
      <c r="G300" s="121">
        <v>0</v>
      </c>
      <c r="H300" s="120">
        <v>2</v>
      </c>
      <c r="I300" s="47">
        <v>1</v>
      </c>
      <c r="J300" s="121">
        <v>1</v>
      </c>
      <c r="K300" s="120">
        <v>1.7</v>
      </c>
      <c r="L300" s="47">
        <v>1</v>
      </c>
      <c r="M300" s="121">
        <v>1</v>
      </c>
      <c r="N300" s="120">
        <v>2</v>
      </c>
      <c r="O300" s="47">
        <v>1</v>
      </c>
      <c r="P300" s="121">
        <v>1</v>
      </c>
      <c r="Q300">
        <v>0</v>
      </c>
      <c r="R300" t="s">
        <v>98</v>
      </c>
    </row>
    <row r="301" spans="1:18" x14ac:dyDescent="0.2">
      <c r="A301" t="str">
        <f t="shared" si="4"/>
        <v>NVM18_30</v>
      </c>
      <c r="B301" s="120">
        <v>1.1000000000000001</v>
      </c>
      <c r="C301" s="49">
        <v>1</v>
      </c>
      <c r="D301" s="121">
        <v>1</v>
      </c>
      <c r="E301" s="120">
        <v>0</v>
      </c>
      <c r="F301" s="49">
        <v>0</v>
      </c>
      <c r="G301" s="121">
        <v>0</v>
      </c>
      <c r="H301" s="120">
        <v>1.25</v>
      </c>
      <c r="I301" s="49">
        <v>1</v>
      </c>
      <c r="J301" s="121">
        <v>1</v>
      </c>
      <c r="K301" s="120">
        <v>1.175</v>
      </c>
      <c r="L301" s="49">
        <v>1</v>
      </c>
      <c r="M301" s="121">
        <v>1</v>
      </c>
      <c r="N301" s="120">
        <v>1.25</v>
      </c>
      <c r="O301" s="49">
        <v>1</v>
      </c>
      <c r="P301" s="121">
        <v>1</v>
      </c>
      <c r="Q301">
        <v>30</v>
      </c>
      <c r="R301" t="s">
        <v>98</v>
      </c>
    </row>
    <row r="302" spans="1:18" x14ac:dyDescent="0.2">
      <c r="A302" t="str">
        <f t="shared" si="4"/>
        <v>NVM18_40</v>
      </c>
      <c r="B302" s="120">
        <v>1</v>
      </c>
      <c r="C302" s="47">
        <v>1</v>
      </c>
      <c r="D302" s="121">
        <v>1</v>
      </c>
      <c r="E302" s="120">
        <v>0</v>
      </c>
      <c r="F302" s="49">
        <v>0</v>
      </c>
      <c r="G302" s="121">
        <v>0</v>
      </c>
      <c r="H302" s="120">
        <v>1</v>
      </c>
      <c r="I302" s="47">
        <v>1</v>
      </c>
      <c r="J302" s="121">
        <v>1</v>
      </c>
      <c r="K302" s="120">
        <v>1</v>
      </c>
      <c r="L302" s="47">
        <v>1</v>
      </c>
      <c r="M302" s="121">
        <v>1</v>
      </c>
      <c r="N302" s="120">
        <v>1</v>
      </c>
      <c r="O302" s="47">
        <v>1</v>
      </c>
      <c r="P302" s="121">
        <v>1</v>
      </c>
      <c r="Q302">
        <v>40</v>
      </c>
      <c r="R302" t="s">
        <v>98</v>
      </c>
    </row>
    <row r="303" spans="1:18" x14ac:dyDescent="0.2">
      <c r="A303" t="str">
        <f t="shared" si="4"/>
        <v>NVM18_60</v>
      </c>
      <c r="B303" s="120">
        <v>0.85</v>
      </c>
      <c r="C303" s="49">
        <v>1</v>
      </c>
      <c r="D303" s="121">
        <v>1</v>
      </c>
      <c r="E303" s="120">
        <v>0</v>
      </c>
      <c r="F303" s="49">
        <v>0</v>
      </c>
      <c r="G303" s="121">
        <v>0</v>
      </c>
      <c r="H303" s="120">
        <v>0.85</v>
      </c>
      <c r="I303" s="49">
        <v>1</v>
      </c>
      <c r="J303" s="121">
        <v>1</v>
      </c>
      <c r="K303" s="120">
        <v>0.85</v>
      </c>
      <c r="L303" s="49">
        <v>1</v>
      </c>
      <c r="M303" s="121">
        <v>1</v>
      </c>
      <c r="N303" s="120">
        <v>0.85</v>
      </c>
      <c r="O303" s="49">
        <v>1</v>
      </c>
      <c r="P303" s="121">
        <v>1</v>
      </c>
      <c r="Q303">
        <v>60</v>
      </c>
      <c r="R303" t="s">
        <v>98</v>
      </c>
    </row>
    <row r="304" spans="1:18" x14ac:dyDescent="0.2">
      <c r="A304" t="str">
        <f t="shared" si="4"/>
        <v>NVM18_80</v>
      </c>
      <c r="B304" s="120">
        <v>0.7</v>
      </c>
      <c r="C304" s="47">
        <v>1</v>
      </c>
      <c r="D304" s="121">
        <v>1</v>
      </c>
      <c r="E304" s="120">
        <v>0</v>
      </c>
      <c r="F304" s="49">
        <v>0</v>
      </c>
      <c r="G304" s="121">
        <v>0</v>
      </c>
      <c r="H304" s="120">
        <v>0.7</v>
      </c>
      <c r="I304" s="47">
        <v>1</v>
      </c>
      <c r="J304" s="121">
        <v>1</v>
      </c>
      <c r="K304" s="120">
        <v>0.7</v>
      </c>
      <c r="L304" s="47">
        <v>1</v>
      </c>
      <c r="M304" s="121">
        <v>1</v>
      </c>
      <c r="N304" s="120">
        <v>0.7</v>
      </c>
      <c r="O304" s="47">
        <v>1</v>
      </c>
      <c r="P304" s="121">
        <v>1</v>
      </c>
      <c r="Q304">
        <v>80</v>
      </c>
      <c r="R304" t="s">
        <v>98</v>
      </c>
    </row>
    <row r="305" spans="1:18" x14ac:dyDescent="0.2">
      <c r="A305" t="str">
        <f t="shared" si="4"/>
        <v>NVM18_100</v>
      </c>
      <c r="B305" s="120">
        <v>0.55000000000000004</v>
      </c>
      <c r="C305" s="47">
        <v>1</v>
      </c>
      <c r="D305" s="121">
        <v>1</v>
      </c>
      <c r="E305" s="120">
        <v>0</v>
      </c>
      <c r="F305" s="49">
        <v>0</v>
      </c>
      <c r="G305" s="121">
        <v>0</v>
      </c>
      <c r="H305" s="120">
        <v>0.55000000000000004</v>
      </c>
      <c r="I305" s="47">
        <v>1</v>
      </c>
      <c r="J305" s="121">
        <v>1</v>
      </c>
      <c r="K305" s="120">
        <v>0.55000000000000004</v>
      </c>
      <c r="L305" s="47">
        <v>1</v>
      </c>
      <c r="M305" s="121">
        <v>1</v>
      </c>
      <c r="N305" s="120">
        <v>0.55000000000000004</v>
      </c>
      <c r="O305" s="47">
        <v>1</v>
      </c>
      <c r="P305" s="121">
        <v>1</v>
      </c>
      <c r="Q305">
        <v>100</v>
      </c>
      <c r="R305" t="s">
        <v>98</v>
      </c>
    </row>
    <row r="306" spans="1:18" x14ac:dyDescent="0.2">
      <c r="A306" t="str">
        <f t="shared" si="4"/>
        <v/>
      </c>
    </row>
    <row r="307" spans="1:18" x14ac:dyDescent="0.2">
      <c r="A307" t="str">
        <f t="shared" si="4"/>
        <v>NSC18_0</v>
      </c>
      <c r="B307" s="120">
        <v>1.4</v>
      </c>
      <c r="C307" s="47">
        <v>1</v>
      </c>
      <c r="D307" s="121">
        <v>1</v>
      </c>
      <c r="E307" s="120">
        <v>0</v>
      </c>
      <c r="F307" s="49">
        <v>0</v>
      </c>
      <c r="G307" s="121">
        <v>0</v>
      </c>
      <c r="H307" s="120">
        <v>2</v>
      </c>
      <c r="I307" s="47">
        <v>1</v>
      </c>
      <c r="J307" s="121">
        <v>1</v>
      </c>
      <c r="K307" s="120">
        <v>1.7</v>
      </c>
      <c r="L307" s="47">
        <v>1</v>
      </c>
      <c r="M307" s="121">
        <v>1</v>
      </c>
      <c r="N307" s="120">
        <v>2</v>
      </c>
      <c r="O307" s="47">
        <v>1</v>
      </c>
      <c r="P307" s="121">
        <v>1</v>
      </c>
      <c r="Q307">
        <v>0</v>
      </c>
      <c r="R307" t="s">
        <v>99</v>
      </c>
    </row>
    <row r="308" spans="1:18" x14ac:dyDescent="0.2">
      <c r="A308" t="str">
        <f t="shared" si="4"/>
        <v>NSC18_30</v>
      </c>
      <c r="B308" s="120">
        <v>1.1000000000000001</v>
      </c>
      <c r="C308" s="49">
        <v>1</v>
      </c>
      <c r="D308" s="121">
        <v>1</v>
      </c>
      <c r="E308" s="120">
        <v>0</v>
      </c>
      <c r="F308" s="49">
        <v>0</v>
      </c>
      <c r="G308" s="121">
        <v>0</v>
      </c>
      <c r="H308" s="120">
        <v>1.25</v>
      </c>
      <c r="I308" s="49">
        <v>1</v>
      </c>
      <c r="J308" s="121">
        <v>1</v>
      </c>
      <c r="K308" s="120">
        <v>1.175</v>
      </c>
      <c r="L308" s="49">
        <v>1</v>
      </c>
      <c r="M308" s="121">
        <v>1</v>
      </c>
      <c r="N308" s="120">
        <v>1.25</v>
      </c>
      <c r="O308" s="49">
        <v>1</v>
      </c>
      <c r="P308" s="121">
        <v>1</v>
      </c>
      <c r="Q308">
        <v>30</v>
      </c>
      <c r="R308" t="s">
        <v>99</v>
      </c>
    </row>
    <row r="309" spans="1:18" x14ac:dyDescent="0.2">
      <c r="A309" t="str">
        <f t="shared" si="4"/>
        <v>NSC18_40</v>
      </c>
      <c r="B309" s="120">
        <v>1</v>
      </c>
      <c r="C309" s="47">
        <v>1</v>
      </c>
      <c r="D309" s="121">
        <v>1</v>
      </c>
      <c r="E309" s="120">
        <v>0</v>
      </c>
      <c r="F309" s="49">
        <v>0</v>
      </c>
      <c r="G309" s="121">
        <v>0</v>
      </c>
      <c r="H309" s="120">
        <v>1</v>
      </c>
      <c r="I309" s="47">
        <v>1</v>
      </c>
      <c r="J309" s="121">
        <v>1</v>
      </c>
      <c r="K309" s="120">
        <v>1</v>
      </c>
      <c r="L309" s="47">
        <v>1</v>
      </c>
      <c r="M309" s="121">
        <v>1</v>
      </c>
      <c r="N309" s="120">
        <v>1</v>
      </c>
      <c r="O309" s="47">
        <v>1</v>
      </c>
      <c r="P309" s="121">
        <v>1</v>
      </c>
      <c r="Q309">
        <v>40</v>
      </c>
      <c r="R309" t="s">
        <v>99</v>
      </c>
    </row>
    <row r="310" spans="1:18" x14ac:dyDescent="0.2">
      <c r="A310" t="str">
        <f t="shared" si="4"/>
        <v>NSC18_60</v>
      </c>
      <c r="B310" s="120">
        <v>0.85</v>
      </c>
      <c r="C310" s="49">
        <v>1</v>
      </c>
      <c r="D310" s="121">
        <v>1</v>
      </c>
      <c r="E310" s="120">
        <v>0</v>
      </c>
      <c r="F310" s="49">
        <v>0</v>
      </c>
      <c r="G310" s="121">
        <v>0</v>
      </c>
      <c r="H310" s="120">
        <v>0.85</v>
      </c>
      <c r="I310" s="49">
        <v>1</v>
      </c>
      <c r="J310" s="121">
        <v>1</v>
      </c>
      <c r="K310" s="120">
        <v>0.85</v>
      </c>
      <c r="L310" s="49">
        <v>1</v>
      </c>
      <c r="M310" s="121">
        <v>1</v>
      </c>
      <c r="N310" s="120">
        <v>0.85</v>
      </c>
      <c r="O310" s="49">
        <v>1</v>
      </c>
      <c r="P310" s="121">
        <v>1</v>
      </c>
      <c r="Q310">
        <v>60</v>
      </c>
      <c r="R310" t="s">
        <v>99</v>
      </c>
    </row>
    <row r="311" spans="1:18" x14ac:dyDescent="0.2">
      <c r="A311" t="str">
        <f t="shared" si="4"/>
        <v>NSC18_80</v>
      </c>
      <c r="B311" s="120">
        <v>0.7</v>
      </c>
      <c r="C311" s="47">
        <v>1</v>
      </c>
      <c r="D311" s="121">
        <v>1</v>
      </c>
      <c r="E311" s="120">
        <v>0</v>
      </c>
      <c r="F311" s="49">
        <v>0</v>
      </c>
      <c r="G311" s="121">
        <v>0</v>
      </c>
      <c r="H311" s="120">
        <v>0.7</v>
      </c>
      <c r="I311" s="47">
        <v>1</v>
      </c>
      <c r="J311" s="121">
        <v>1</v>
      </c>
      <c r="K311" s="120">
        <v>0.7</v>
      </c>
      <c r="L311" s="47">
        <v>1</v>
      </c>
      <c r="M311" s="121">
        <v>1</v>
      </c>
      <c r="N311" s="120">
        <v>0.7</v>
      </c>
      <c r="O311" s="47">
        <v>1</v>
      </c>
      <c r="P311" s="121">
        <v>1</v>
      </c>
      <c r="Q311">
        <v>80</v>
      </c>
      <c r="R311" t="s">
        <v>99</v>
      </c>
    </row>
    <row r="312" spans="1:18" x14ac:dyDescent="0.2">
      <c r="A312" t="str">
        <f t="shared" si="4"/>
        <v>NSC18_100</v>
      </c>
      <c r="B312" s="120">
        <v>0.55000000000000004</v>
      </c>
      <c r="C312" s="47">
        <v>1</v>
      </c>
      <c r="D312" s="121">
        <v>1</v>
      </c>
      <c r="E312" s="120">
        <v>0</v>
      </c>
      <c r="F312" s="49">
        <v>0</v>
      </c>
      <c r="G312" s="121">
        <v>0</v>
      </c>
      <c r="H312" s="120">
        <v>0.55000000000000004</v>
      </c>
      <c r="I312" s="47">
        <v>1</v>
      </c>
      <c r="J312" s="121">
        <v>1</v>
      </c>
      <c r="K312" s="120">
        <v>0.55000000000000004</v>
      </c>
      <c r="L312" s="47">
        <v>1</v>
      </c>
      <c r="M312" s="121">
        <v>1</v>
      </c>
      <c r="N312" s="120">
        <v>0.55000000000000004</v>
      </c>
      <c r="O312" s="47">
        <v>1</v>
      </c>
      <c r="P312" s="121">
        <v>1</v>
      </c>
      <c r="Q312">
        <v>100</v>
      </c>
      <c r="R312" t="s">
        <v>99</v>
      </c>
    </row>
    <row r="313" spans="1:18" x14ac:dyDescent="0.2">
      <c r="A313" t="str">
        <f t="shared" si="4"/>
        <v/>
      </c>
    </row>
    <row r="314" spans="1:18" x14ac:dyDescent="0.2">
      <c r="A314" t="str">
        <f t="shared" si="4"/>
        <v>NGH18_0</v>
      </c>
      <c r="B314" s="120">
        <v>1.4</v>
      </c>
      <c r="C314" s="47">
        <v>1</v>
      </c>
      <c r="D314" s="121">
        <v>1</v>
      </c>
      <c r="E314" s="120">
        <v>0</v>
      </c>
      <c r="F314" s="49">
        <v>0</v>
      </c>
      <c r="G314" s="121">
        <v>0</v>
      </c>
      <c r="H314" s="120">
        <v>2</v>
      </c>
      <c r="I314" s="47">
        <v>1</v>
      </c>
      <c r="J314" s="121">
        <v>1</v>
      </c>
      <c r="K314" s="120">
        <v>1.7</v>
      </c>
      <c r="L314" s="47">
        <v>1</v>
      </c>
      <c r="M314" s="121">
        <v>1</v>
      </c>
      <c r="N314" s="120">
        <v>2</v>
      </c>
      <c r="O314" s="47">
        <v>1</v>
      </c>
      <c r="P314" s="121">
        <v>1</v>
      </c>
      <c r="Q314">
        <v>0</v>
      </c>
      <c r="R314" t="s">
        <v>100</v>
      </c>
    </row>
    <row r="315" spans="1:18" x14ac:dyDescent="0.2">
      <c r="A315" t="str">
        <f t="shared" si="4"/>
        <v>NGH18_30</v>
      </c>
      <c r="B315" s="120">
        <v>1.1000000000000001</v>
      </c>
      <c r="C315" s="49">
        <v>1</v>
      </c>
      <c r="D315" s="121">
        <v>1</v>
      </c>
      <c r="E315" s="120">
        <v>0</v>
      </c>
      <c r="F315" s="49">
        <v>0</v>
      </c>
      <c r="G315" s="121">
        <v>0</v>
      </c>
      <c r="H315" s="120">
        <v>1.25</v>
      </c>
      <c r="I315" s="49">
        <v>1</v>
      </c>
      <c r="J315" s="121">
        <v>1</v>
      </c>
      <c r="K315" s="120">
        <v>1.175</v>
      </c>
      <c r="L315" s="49">
        <v>1</v>
      </c>
      <c r="M315" s="121">
        <v>1</v>
      </c>
      <c r="N315" s="120">
        <v>1.25</v>
      </c>
      <c r="O315" s="49">
        <v>1</v>
      </c>
      <c r="P315" s="121">
        <v>1</v>
      </c>
      <c r="Q315">
        <v>30</v>
      </c>
      <c r="R315" t="s">
        <v>100</v>
      </c>
    </row>
    <row r="316" spans="1:18" x14ac:dyDescent="0.2">
      <c r="A316" t="str">
        <f t="shared" si="4"/>
        <v>NGH18_40</v>
      </c>
      <c r="B316" s="120">
        <v>1</v>
      </c>
      <c r="C316" s="47">
        <v>1</v>
      </c>
      <c r="D316" s="121">
        <v>1</v>
      </c>
      <c r="E316" s="120">
        <v>0</v>
      </c>
      <c r="F316" s="49">
        <v>0</v>
      </c>
      <c r="G316" s="121">
        <v>0</v>
      </c>
      <c r="H316" s="120">
        <v>1</v>
      </c>
      <c r="I316" s="47">
        <v>1</v>
      </c>
      <c r="J316" s="121">
        <v>1</v>
      </c>
      <c r="K316" s="120">
        <v>1</v>
      </c>
      <c r="L316" s="47">
        <v>1</v>
      </c>
      <c r="M316" s="121">
        <v>1</v>
      </c>
      <c r="N316" s="120">
        <v>1</v>
      </c>
      <c r="O316" s="47">
        <v>1</v>
      </c>
      <c r="P316" s="121">
        <v>1</v>
      </c>
      <c r="Q316">
        <v>40</v>
      </c>
      <c r="R316" t="s">
        <v>100</v>
      </c>
    </row>
    <row r="317" spans="1:18" x14ac:dyDescent="0.2">
      <c r="A317" t="str">
        <f t="shared" si="4"/>
        <v>NGH18_60</v>
      </c>
      <c r="B317" s="120">
        <v>0.85</v>
      </c>
      <c r="C317" s="49">
        <v>1</v>
      </c>
      <c r="D317" s="121">
        <v>1</v>
      </c>
      <c r="E317" s="120">
        <v>0</v>
      </c>
      <c r="F317" s="49">
        <v>0</v>
      </c>
      <c r="G317" s="121">
        <v>0</v>
      </c>
      <c r="H317" s="120">
        <v>0.85</v>
      </c>
      <c r="I317" s="49">
        <v>1</v>
      </c>
      <c r="J317" s="121">
        <v>1</v>
      </c>
      <c r="K317" s="120">
        <v>0.85</v>
      </c>
      <c r="L317" s="49">
        <v>1</v>
      </c>
      <c r="M317" s="121">
        <v>1</v>
      </c>
      <c r="N317" s="120">
        <v>0.85</v>
      </c>
      <c r="O317" s="49">
        <v>1</v>
      </c>
      <c r="P317" s="121">
        <v>1</v>
      </c>
      <c r="Q317">
        <v>60</v>
      </c>
      <c r="R317" t="s">
        <v>100</v>
      </c>
    </row>
    <row r="318" spans="1:18" x14ac:dyDescent="0.2">
      <c r="A318" t="str">
        <f t="shared" si="4"/>
        <v>NGH18_80</v>
      </c>
      <c r="B318" s="120">
        <v>0.7</v>
      </c>
      <c r="C318" s="47">
        <v>1</v>
      </c>
      <c r="D318" s="121">
        <v>1</v>
      </c>
      <c r="E318" s="120">
        <v>0</v>
      </c>
      <c r="F318" s="49">
        <v>0</v>
      </c>
      <c r="G318" s="121">
        <v>0</v>
      </c>
      <c r="H318" s="120">
        <v>0.7</v>
      </c>
      <c r="I318" s="47">
        <v>1</v>
      </c>
      <c r="J318" s="121">
        <v>1</v>
      </c>
      <c r="K318" s="120">
        <v>0.7</v>
      </c>
      <c r="L318" s="47">
        <v>1</v>
      </c>
      <c r="M318" s="121">
        <v>1</v>
      </c>
      <c r="N318" s="120">
        <v>0.7</v>
      </c>
      <c r="O318" s="47">
        <v>1</v>
      </c>
      <c r="P318" s="121">
        <v>1</v>
      </c>
      <c r="Q318">
        <v>80</v>
      </c>
      <c r="R318" t="s">
        <v>100</v>
      </c>
    </row>
    <row r="319" spans="1:18" x14ac:dyDescent="0.2">
      <c r="A319" t="str">
        <f t="shared" si="4"/>
        <v>NGH18_100</v>
      </c>
      <c r="B319" s="120">
        <v>0.55000000000000004</v>
      </c>
      <c r="C319" s="47">
        <v>1</v>
      </c>
      <c r="D319" s="121">
        <v>1</v>
      </c>
      <c r="E319" s="120">
        <v>0</v>
      </c>
      <c r="F319" s="49">
        <v>0</v>
      </c>
      <c r="G319" s="121">
        <v>0</v>
      </c>
      <c r="H319" s="120">
        <v>0.55000000000000004</v>
      </c>
      <c r="I319" s="47">
        <v>1</v>
      </c>
      <c r="J319" s="121">
        <v>1</v>
      </c>
      <c r="K319" s="120">
        <v>0.55000000000000004</v>
      </c>
      <c r="L319" s="47">
        <v>1</v>
      </c>
      <c r="M319" s="121">
        <v>1</v>
      </c>
      <c r="N319" s="120">
        <v>0.55000000000000004</v>
      </c>
      <c r="O319" s="47">
        <v>1</v>
      </c>
      <c r="P319" s="121">
        <v>1</v>
      </c>
      <c r="Q319">
        <v>100</v>
      </c>
      <c r="R319" t="s">
        <v>100</v>
      </c>
    </row>
    <row r="320" spans="1:18" x14ac:dyDescent="0.2">
      <c r="A320" t="str">
        <f t="shared" si="4"/>
        <v/>
      </c>
    </row>
    <row r="321" spans="1:18" x14ac:dyDescent="0.2">
      <c r="A321" t="str">
        <f t="shared" si="4"/>
        <v>NLO18_0</v>
      </c>
      <c r="B321" s="120">
        <v>1.4</v>
      </c>
      <c r="C321" s="47">
        <v>1</v>
      </c>
      <c r="D321" s="121">
        <v>1</v>
      </c>
      <c r="E321" s="120">
        <v>0</v>
      </c>
      <c r="F321" s="49">
        <v>0</v>
      </c>
      <c r="G321" s="121">
        <v>0</v>
      </c>
      <c r="H321" s="120">
        <v>2</v>
      </c>
      <c r="I321" s="47">
        <v>1</v>
      </c>
      <c r="J321" s="121">
        <v>1</v>
      </c>
      <c r="K321" s="120">
        <v>1.7</v>
      </c>
      <c r="L321" s="47">
        <v>1</v>
      </c>
      <c r="M321" s="121">
        <v>1</v>
      </c>
      <c r="N321" s="120">
        <v>2</v>
      </c>
      <c r="O321" s="47">
        <v>1</v>
      </c>
      <c r="P321" s="121">
        <v>1</v>
      </c>
      <c r="Q321">
        <v>0</v>
      </c>
      <c r="R321" t="s">
        <v>79</v>
      </c>
    </row>
    <row r="322" spans="1:18" x14ac:dyDescent="0.2">
      <c r="A322" t="str">
        <f t="shared" si="4"/>
        <v>NLO18_30</v>
      </c>
      <c r="B322" s="120">
        <v>1.1000000000000001</v>
      </c>
      <c r="C322" s="49">
        <v>1</v>
      </c>
      <c r="D322" s="121">
        <v>1</v>
      </c>
      <c r="E322" s="120">
        <v>0</v>
      </c>
      <c r="F322" s="49">
        <v>0</v>
      </c>
      <c r="G322" s="121">
        <v>0</v>
      </c>
      <c r="H322" s="120">
        <v>1.25</v>
      </c>
      <c r="I322" s="49">
        <v>1</v>
      </c>
      <c r="J322" s="121">
        <v>1</v>
      </c>
      <c r="K322" s="120">
        <v>1.175</v>
      </c>
      <c r="L322" s="49">
        <v>1</v>
      </c>
      <c r="M322" s="121">
        <v>1</v>
      </c>
      <c r="N322" s="120">
        <v>1.25</v>
      </c>
      <c r="O322" s="49">
        <v>1</v>
      </c>
      <c r="P322" s="121">
        <v>1</v>
      </c>
      <c r="Q322">
        <v>30</v>
      </c>
      <c r="R322" t="s">
        <v>79</v>
      </c>
    </row>
    <row r="323" spans="1:18" x14ac:dyDescent="0.2">
      <c r="A323" t="str">
        <f t="shared" si="4"/>
        <v>NLO18_40</v>
      </c>
      <c r="B323" s="120">
        <v>1</v>
      </c>
      <c r="C323" s="47">
        <v>1</v>
      </c>
      <c r="D323" s="121">
        <v>1</v>
      </c>
      <c r="E323" s="120">
        <v>0</v>
      </c>
      <c r="F323" s="49">
        <v>0</v>
      </c>
      <c r="G323" s="121">
        <v>0</v>
      </c>
      <c r="H323" s="120">
        <v>1</v>
      </c>
      <c r="I323" s="47">
        <v>1</v>
      </c>
      <c r="J323" s="121">
        <v>1</v>
      </c>
      <c r="K323" s="120">
        <v>1</v>
      </c>
      <c r="L323" s="47">
        <v>1</v>
      </c>
      <c r="M323" s="121">
        <v>1</v>
      </c>
      <c r="N323" s="120">
        <v>1</v>
      </c>
      <c r="O323" s="47">
        <v>1</v>
      </c>
      <c r="P323" s="121">
        <v>1</v>
      </c>
      <c r="Q323">
        <v>40</v>
      </c>
      <c r="R323" t="s">
        <v>79</v>
      </c>
    </row>
    <row r="324" spans="1:18" x14ac:dyDescent="0.2">
      <c r="A324" t="str">
        <f t="shared" si="4"/>
        <v>NLO18_60</v>
      </c>
      <c r="B324" s="120">
        <v>0.85</v>
      </c>
      <c r="C324" s="49">
        <v>1</v>
      </c>
      <c r="D324" s="121">
        <v>1</v>
      </c>
      <c r="E324" s="120">
        <v>0</v>
      </c>
      <c r="F324" s="49">
        <v>0</v>
      </c>
      <c r="G324" s="121">
        <v>0</v>
      </c>
      <c r="H324" s="120">
        <v>0.85</v>
      </c>
      <c r="I324" s="49">
        <v>1</v>
      </c>
      <c r="J324" s="121">
        <v>1</v>
      </c>
      <c r="K324" s="120">
        <v>0.85</v>
      </c>
      <c r="L324" s="49">
        <v>1</v>
      </c>
      <c r="M324" s="121">
        <v>1</v>
      </c>
      <c r="N324" s="120">
        <v>0.85</v>
      </c>
      <c r="O324" s="49">
        <v>1</v>
      </c>
      <c r="P324" s="121">
        <v>1</v>
      </c>
      <c r="Q324">
        <v>60</v>
      </c>
      <c r="R324" t="s">
        <v>79</v>
      </c>
    </row>
    <row r="325" spans="1:18" x14ac:dyDescent="0.2">
      <c r="A325" t="str">
        <f t="shared" si="4"/>
        <v>NLO18_80</v>
      </c>
      <c r="B325" s="120">
        <v>0.7</v>
      </c>
      <c r="C325" s="47">
        <v>1</v>
      </c>
      <c r="D325" s="121">
        <v>1</v>
      </c>
      <c r="E325" s="120">
        <v>0</v>
      </c>
      <c r="F325" s="49">
        <v>0</v>
      </c>
      <c r="G325" s="121">
        <v>0</v>
      </c>
      <c r="H325" s="120">
        <v>0.7</v>
      </c>
      <c r="I325" s="47">
        <v>1</v>
      </c>
      <c r="J325" s="121">
        <v>1</v>
      </c>
      <c r="K325" s="120">
        <v>0.7</v>
      </c>
      <c r="L325" s="47">
        <v>1</v>
      </c>
      <c r="M325" s="121">
        <v>1</v>
      </c>
      <c r="N325" s="120">
        <v>0.7</v>
      </c>
      <c r="O325" s="47">
        <v>1</v>
      </c>
      <c r="P325" s="121">
        <v>1</v>
      </c>
      <c r="Q325">
        <v>80</v>
      </c>
      <c r="R325" t="s">
        <v>79</v>
      </c>
    </row>
    <row r="326" spans="1:18" x14ac:dyDescent="0.2">
      <c r="A326" t="str">
        <f t="shared" si="4"/>
        <v>NLO18_100</v>
      </c>
      <c r="B326" s="120">
        <v>0.55000000000000004</v>
      </c>
      <c r="C326" s="47">
        <v>1</v>
      </c>
      <c r="D326" s="121">
        <v>1</v>
      </c>
      <c r="E326" s="120">
        <v>0</v>
      </c>
      <c r="F326" s="49">
        <v>0</v>
      </c>
      <c r="G326" s="121">
        <v>0</v>
      </c>
      <c r="H326" s="120">
        <v>0.55000000000000004</v>
      </c>
      <c r="I326" s="47">
        <v>1</v>
      </c>
      <c r="J326" s="121">
        <v>1</v>
      </c>
      <c r="K326" s="120">
        <v>0.55000000000000004</v>
      </c>
      <c r="L326" s="47">
        <v>1</v>
      </c>
      <c r="M326" s="121">
        <v>1</v>
      </c>
      <c r="N326" s="120">
        <v>0.55000000000000004</v>
      </c>
      <c r="O326" s="47">
        <v>1</v>
      </c>
      <c r="P326" s="121">
        <v>1</v>
      </c>
      <c r="Q326">
        <v>100</v>
      </c>
      <c r="R326" t="s">
        <v>79</v>
      </c>
    </row>
    <row r="327" spans="1:18" x14ac:dyDescent="0.2">
      <c r="A327" t="str">
        <f t="shared" si="4"/>
        <v/>
      </c>
    </row>
    <row r="328" spans="1:18" x14ac:dyDescent="0.2">
      <c r="A328" s="234" t="str">
        <f t="shared" si="4"/>
        <v>NPS18_0</v>
      </c>
      <c r="B328" s="120">
        <v>1.4</v>
      </c>
      <c r="C328" s="47">
        <v>1</v>
      </c>
      <c r="D328" s="121">
        <v>1</v>
      </c>
      <c r="E328" s="120">
        <v>0</v>
      </c>
      <c r="F328" s="49">
        <v>0</v>
      </c>
      <c r="G328" s="121">
        <v>0</v>
      </c>
      <c r="H328" s="120">
        <v>2</v>
      </c>
      <c r="I328" s="47">
        <v>1</v>
      </c>
      <c r="J328" s="121">
        <v>1</v>
      </c>
      <c r="K328" s="120">
        <v>1.7</v>
      </c>
      <c r="L328" s="47">
        <v>1</v>
      </c>
      <c r="M328" s="121">
        <v>1</v>
      </c>
      <c r="N328" s="120">
        <v>2</v>
      </c>
      <c r="O328" s="47">
        <v>1</v>
      </c>
      <c r="P328" s="121">
        <v>1</v>
      </c>
      <c r="Q328">
        <v>0</v>
      </c>
      <c r="R328" t="s">
        <v>81</v>
      </c>
    </row>
    <row r="329" spans="1:18" x14ac:dyDescent="0.2">
      <c r="A329" s="234" t="str">
        <f t="shared" si="4"/>
        <v>NPS18_30</v>
      </c>
      <c r="B329" s="120">
        <v>1.1000000000000001</v>
      </c>
      <c r="C329" s="49">
        <v>1</v>
      </c>
      <c r="D329" s="121">
        <v>1</v>
      </c>
      <c r="E329" s="120">
        <v>0</v>
      </c>
      <c r="F329" s="49">
        <v>0</v>
      </c>
      <c r="G329" s="121">
        <v>0</v>
      </c>
      <c r="H329" s="120">
        <v>1.25</v>
      </c>
      <c r="I329" s="49">
        <v>1</v>
      </c>
      <c r="J329" s="121">
        <v>1</v>
      </c>
      <c r="K329" s="120">
        <v>1.175</v>
      </c>
      <c r="L329" s="49">
        <v>1</v>
      </c>
      <c r="M329" s="121">
        <v>1</v>
      </c>
      <c r="N329" s="120">
        <v>1.25</v>
      </c>
      <c r="O329" s="49">
        <v>1</v>
      </c>
      <c r="P329" s="121">
        <v>1</v>
      </c>
      <c r="Q329">
        <v>30</v>
      </c>
      <c r="R329" t="s">
        <v>81</v>
      </c>
    </row>
    <row r="330" spans="1:18" x14ac:dyDescent="0.2">
      <c r="A330" s="234" t="str">
        <f t="shared" si="4"/>
        <v>NPS18_40</v>
      </c>
      <c r="B330" s="120">
        <v>1</v>
      </c>
      <c r="C330" s="47">
        <v>1</v>
      </c>
      <c r="D330" s="121">
        <v>1</v>
      </c>
      <c r="E330" s="120">
        <v>0</v>
      </c>
      <c r="F330" s="49">
        <v>0</v>
      </c>
      <c r="G330" s="121">
        <v>0</v>
      </c>
      <c r="H330" s="120">
        <v>1</v>
      </c>
      <c r="I330" s="47">
        <v>1</v>
      </c>
      <c r="J330" s="121">
        <v>1</v>
      </c>
      <c r="K330" s="120">
        <v>1</v>
      </c>
      <c r="L330" s="47">
        <v>1</v>
      </c>
      <c r="M330" s="121">
        <v>1</v>
      </c>
      <c r="N330" s="120">
        <v>1</v>
      </c>
      <c r="O330" s="47">
        <v>1</v>
      </c>
      <c r="P330" s="121">
        <v>1</v>
      </c>
      <c r="Q330">
        <v>40</v>
      </c>
      <c r="R330" t="s">
        <v>81</v>
      </c>
    </row>
    <row r="331" spans="1:18" x14ac:dyDescent="0.2">
      <c r="A331" s="234" t="str">
        <f t="shared" si="4"/>
        <v>NPS18_60</v>
      </c>
      <c r="B331" s="120">
        <v>0.85</v>
      </c>
      <c r="C331" s="49">
        <v>1</v>
      </c>
      <c r="D331" s="121">
        <v>1</v>
      </c>
      <c r="E331" s="120">
        <v>0</v>
      </c>
      <c r="F331" s="49">
        <v>0</v>
      </c>
      <c r="G331" s="121">
        <v>0</v>
      </c>
      <c r="H331" s="120">
        <v>0.85</v>
      </c>
      <c r="I331" s="49">
        <v>1</v>
      </c>
      <c r="J331" s="121">
        <v>1</v>
      </c>
      <c r="K331" s="120">
        <v>0.85</v>
      </c>
      <c r="L331" s="49">
        <v>1</v>
      </c>
      <c r="M331" s="121">
        <v>1</v>
      </c>
      <c r="N331" s="120">
        <v>0.85</v>
      </c>
      <c r="O331" s="49">
        <v>1</v>
      </c>
      <c r="P331" s="121">
        <v>1</v>
      </c>
      <c r="Q331">
        <v>60</v>
      </c>
      <c r="R331" t="s">
        <v>81</v>
      </c>
    </row>
    <row r="332" spans="1:18" x14ac:dyDescent="0.2">
      <c r="A332" s="234" t="str">
        <f t="shared" si="4"/>
        <v>NPS18_80</v>
      </c>
      <c r="B332" s="120">
        <v>0.7</v>
      </c>
      <c r="C332" s="47">
        <v>1</v>
      </c>
      <c r="D332" s="121">
        <v>1</v>
      </c>
      <c r="E332" s="120">
        <v>0</v>
      </c>
      <c r="F332" s="49">
        <v>0</v>
      </c>
      <c r="G332" s="121">
        <v>0</v>
      </c>
      <c r="H332" s="120">
        <v>0.7</v>
      </c>
      <c r="I332" s="47">
        <v>1</v>
      </c>
      <c r="J332" s="121">
        <v>1</v>
      </c>
      <c r="K332" s="120">
        <v>0.7</v>
      </c>
      <c r="L332" s="47">
        <v>1</v>
      </c>
      <c r="M332" s="121">
        <v>1</v>
      </c>
      <c r="N332" s="120">
        <v>0.7</v>
      </c>
      <c r="O332" s="47">
        <v>1</v>
      </c>
      <c r="P332" s="121">
        <v>1</v>
      </c>
      <c r="Q332">
        <v>80</v>
      </c>
      <c r="R332" t="s">
        <v>81</v>
      </c>
    </row>
    <row r="333" spans="1:18" x14ac:dyDescent="0.2">
      <c r="A333" s="234" t="str">
        <f t="shared" si="4"/>
        <v>NPS18_100</v>
      </c>
      <c r="B333" s="120">
        <v>0.55000000000000004</v>
      </c>
      <c r="C333" s="47">
        <v>1</v>
      </c>
      <c r="D333" s="121">
        <v>1</v>
      </c>
      <c r="E333" s="120">
        <v>0</v>
      </c>
      <c r="F333" s="49">
        <v>0</v>
      </c>
      <c r="G333" s="121">
        <v>0</v>
      </c>
      <c r="H333" s="120">
        <v>0.55000000000000004</v>
      </c>
      <c r="I333" s="47">
        <v>1</v>
      </c>
      <c r="J333" s="121">
        <v>1</v>
      </c>
      <c r="K333" s="120">
        <v>0.55000000000000004</v>
      </c>
      <c r="L333" s="47">
        <v>1</v>
      </c>
      <c r="M333" s="121">
        <v>1</v>
      </c>
      <c r="N333" s="120">
        <v>0.55000000000000004</v>
      </c>
      <c r="O333" s="47">
        <v>1</v>
      </c>
      <c r="P333" s="121">
        <v>1</v>
      </c>
      <c r="Q333">
        <v>100</v>
      </c>
      <c r="R333" t="s">
        <v>81</v>
      </c>
    </row>
    <row r="334" spans="1:18" x14ac:dyDescent="0.2">
      <c r="A334" t="str">
        <f t="shared" si="4"/>
        <v/>
      </c>
    </row>
    <row r="335" spans="1:18" x14ac:dyDescent="0.2">
      <c r="A335" t="str">
        <f t="shared" si="4"/>
        <v>NSH17_10</v>
      </c>
      <c r="B335" s="120">
        <v>1.4</v>
      </c>
      <c r="C335" s="47">
        <v>1</v>
      </c>
      <c r="D335" s="121">
        <v>1</v>
      </c>
      <c r="E335" s="120">
        <v>10</v>
      </c>
      <c r="F335" s="49">
        <v>1</v>
      </c>
      <c r="G335" s="121">
        <v>1</v>
      </c>
      <c r="H335" s="120">
        <v>2</v>
      </c>
      <c r="I335" s="49">
        <v>1</v>
      </c>
      <c r="J335" s="121">
        <v>1</v>
      </c>
      <c r="K335" s="120">
        <v>1.7</v>
      </c>
      <c r="L335" s="49">
        <v>1</v>
      </c>
      <c r="M335" s="121">
        <v>1</v>
      </c>
      <c r="N335" s="120">
        <v>2</v>
      </c>
      <c r="O335" s="49">
        <v>1</v>
      </c>
      <c r="P335" s="121">
        <v>1</v>
      </c>
      <c r="Q335">
        <v>10</v>
      </c>
      <c r="R335" t="s">
        <v>101</v>
      </c>
    </row>
    <row r="336" spans="1:18" x14ac:dyDescent="0.2">
      <c r="A336" t="str">
        <f t="shared" si="4"/>
        <v>NSH17_20</v>
      </c>
      <c r="B336" s="120">
        <v>1.3</v>
      </c>
      <c r="C336" s="47">
        <v>1</v>
      </c>
      <c r="D336" s="121">
        <v>1</v>
      </c>
      <c r="E336" s="120">
        <v>7.75</v>
      </c>
      <c r="F336" s="49">
        <v>1</v>
      </c>
      <c r="G336" s="121">
        <v>1</v>
      </c>
      <c r="H336" s="120">
        <v>1.75</v>
      </c>
      <c r="I336" s="49">
        <v>1</v>
      </c>
      <c r="J336" s="121">
        <v>1</v>
      </c>
      <c r="K336" s="120">
        <v>1.5249999999999999</v>
      </c>
      <c r="L336" s="49">
        <v>1</v>
      </c>
      <c r="M336" s="121">
        <v>1</v>
      </c>
      <c r="N336" s="120">
        <v>1.75</v>
      </c>
      <c r="O336" s="49">
        <v>1</v>
      </c>
      <c r="P336" s="121">
        <v>1</v>
      </c>
      <c r="Q336">
        <v>20</v>
      </c>
      <c r="R336" t="s">
        <v>101</v>
      </c>
    </row>
    <row r="337" spans="1:18" x14ac:dyDescent="0.2">
      <c r="A337" t="str">
        <f t="shared" si="4"/>
        <v>NSH17_30</v>
      </c>
      <c r="B337" s="120">
        <v>1.2</v>
      </c>
      <c r="C337" s="47">
        <v>1</v>
      </c>
      <c r="D337" s="121">
        <v>1</v>
      </c>
      <c r="E337" s="120">
        <v>5.5</v>
      </c>
      <c r="F337" s="49">
        <v>1</v>
      </c>
      <c r="G337" s="121">
        <v>1</v>
      </c>
      <c r="H337" s="120">
        <v>1.5</v>
      </c>
      <c r="I337" s="49">
        <v>1</v>
      </c>
      <c r="J337" s="121">
        <v>1</v>
      </c>
      <c r="K337" s="120">
        <v>1.35</v>
      </c>
      <c r="L337" s="49">
        <v>1</v>
      </c>
      <c r="M337" s="121">
        <v>1</v>
      </c>
      <c r="N337" s="120">
        <v>1.5</v>
      </c>
      <c r="O337" s="49">
        <v>1</v>
      </c>
      <c r="P337" s="121">
        <v>1</v>
      </c>
      <c r="Q337">
        <v>30</v>
      </c>
      <c r="R337" t="s">
        <v>101</v>
      </c>
    </row>
    <row r="338" spans="1:18" x14ac:dyDescent="0.2">
      <c r="A338" t="str">
        <f t="shared" si="4"/>
        <v>NSH17_40</v>
      </c>
      <c r="B338" s="120">
        <v>1.1000000000000001</v>
      </c>
      <c r="C338" s="47">
        <v>1</v>
      </c>
      <c r="D338" s="121">
        <v>1</v>
      </c>
      <c r="E338" s="120">
        <v>3.25</v>
      </c>
      <c r="F338" s="49">
        <v>1</v>
      </c>
      <c r="G338" s="121">
        <v>1</v>
      </c>
      <c r="H338" s="120">
        <v>1.25</v>
      </c>
      <c r="I338" s="49">
        <v>1</v>
      </c>
      <c r="J338" s="121">
        <v>1</v>
      </c>
      <c r="K338" s="120">
        <v>1.175</v>
      </c>
      <c r="L338" s="49">
        <v>1</v>
      </c>
      <c r="M338" s="121">
        <v>1</v>
      </c>
      <c r="N338" s="120">
        <v>1.25</v>
      </c>
      <c r="O338" s="49">
        <v>1</v>
      </c>
      <c r="P338" s="121">
        <v>1</v>
      </c>
      <c r="Q338">
        <v>40</v>
      </c>
      <c r="R338" t="s">
        <v>101</v>
      </c>
    </row>
    <row r="339" spans="1:18" x14ac:dyDescent="0.2">
      <c r="A339" t="str">
        <f t="shared" si="4"/>
        <v>NSH17_50</v>
      </c>
      <c r="B339" s="120">
        <v>1</v>
      </c>
      <c r="C339" s="47">
        <v>1</v>
      </c>
      <c r="D339" s="121">
        <v>1</v>
      </c>
      <c r="E339" s="120">
        <v>1</v>
      </c>
      <c r="F339" s="49">
        <v>1</v>
      </c>
      <c r="G339" s="121">
        <v>1</v>
      </c>
      <c r="H339" s="120">
        <v>1</v>
      </c>
      <c r="I339" s="49">
        <v>1</v>
      </c>
      <c r="J339" s="121">
        <v>1</v>
      </c>
      <c r="K339" s="120">
        <v>1</v>
      </c>
      <c r="L339" s="49">
        <v>1</v>
      </c>
      <c r="M339" s="121">
        <v>1</v>
      </c>
      <c r="N339" s="120">
        <v>1</v>
      </c>
      <c r="O339" s="49">
        <v>1</v>
      </c>
      <c r="P339" s="121">
        <v>1</v>
      </c>
      <c r="Q339">
        <v>50</v>
      </c>
      <c r="R339" t="s">
        <v>101</v>
      </c>
    </row>
    <row r="340" spans="1:18" x14ac:dyDescent="0.2">
      <c r="A340" t="str">
        <f t="shared" si="4"/>
        <v>NSH17_60</v>
      </c>
      <c r="B340" s="120">
        <v>0.94</v>
      </c>
      <c r="C340" s="47">
        <v>1</v>
      </c>
      <c r="D340" s="121">
        <v>1</v>
      </c>
      <c r="E340" s="120">
        <v>0.94</v>
      </c>
      <c r="F340" s="49">
        <v>1</v>
      </c>
      <c r="G340" s="121">
        <v>1</v>
      </c>
      <c r="H340" s="120">
        <v>0.94</v>
      </c>
      <c r="I340" s="49">
        <v>1</v>
      </c>
      <c r="J340" s="121">
        <v>1</v>
      </c>
      <c r="K340" s="120">
        <v>0.94</v>
      </c>
      <c r="L340" s="49">
        <v>1</v>
      </c>
      <c r="M340" s="121">
        <v>1</v>
      </c>
      <c r="N340" s="120">
        <v>0.94</v>
      </c>
      <c r="O340" s="49">
        <v>1</v>
      </c>
      <c r="P340" s="121">
        <v>1</v>
      </c>
      <c r="Q340">
        <v>60</v>
      </c>
      <c r="R340" t="s">
        <v>101</v>
      </c>
    </row>
    <row r="341" spans="1:18" x14ac:dyDescent="0.2">
      <c r="A341" t="str">
        <f t="shared" ref="A341:A351" si="5">IF(R341="","",CONCATENATE(R341,"_",Q341))</f>
        <v>NSH17_70</v>
      </c>
      <c r="B341" s="120">
        <v>0.88</v>
      </c>
      <c r="C341" s="47">
        <v>1</v>
      </c>
      <c r="D341" s="121">
        <v>1</v>
      </c>
      <c r="E341" s="120">
        <v>0.88</v>
      </c>
      <c r="F341" s="49">
        <v>1</v>
      </c>
      <c r="G341" s="121">
        <v>1</v>
      </c>
      <c r="H341" s="120">
        <v>0.88</v>
      </c>
      <c r="I341" s="49">
        <v>1</v>
      </c>
      <c r="J341" s="121">
        <v>1</v>
      </c>
      <c r="K341" s="120">
        <v>0.88</v>
      </c>
      <c r="L341" s="49">
        <v>1</v>
      </c>
      <c r="M341" s="121">
        <v>1</v>
      </c>
      <c r="N341" s="120">
        <v>0.88</v>
      </c>
      <c r="O341" s="49">
        <v>1</v>
      </c>
      <c r="P341" s="121">
        <v>1</v>
      </c>
      <c r="Q341">
        <v>70</v>
      </c>
      <c r="R341" t="s">
        <v>101</v>
      </c>
    </row>
    <row r="342" spans="1:18" x14ac:dyDescent="0.2">
      <c r="A342" t="str">
        <f t="shared" si="5"/>
        <v>NSH17_75</v>
      </c>
      <c r="B342" s="120">
        <v>0.85</v>
      </c>
      <c r="C342" s="47">
        <v>1</v>
      </c>
      <c r="D342" s="121">
        <v>1</v>
      </c>
      <c r="E342" s="120">
        <v>0.85</v>
      </c>
      <c r="F342" s="49">
        <v>1</v>
      </c>
      <c r="G342" s="121">
        <v>1</v>
      </c>
      <c r="H342" s="120">
        <v>0.85</v>
      </c>
      <c r="I342" s="49">
        <v>1</v>
      </c>
      <c r="J342" s="121">
        <v>1</v>
      </c>
      <c r="K342" s="120">
        <v>0.85</v>
      </c>
      <c r="L342" s="49">
        <v>1</v>
      </c>
      <c r="M342" s="121">
        <v>1</v>
      </c>
      <c r="N342" s="120">
        <v>0.85</v>
      </c>
      <c r="O342" s="49">
        <v>1</v>
      </c>
      <c r="P342" s="121">
        <v>1</v>
      </c>
      <c r="Q342">
        <v>75</v>
      </c>
      <c r="R342" t="s">
        <v>101</v>
      </c>
    </row>
    <row r="343" spans="1:18" x14ac:dyDescent="0.2">
      <c r="A343" t="str">
        <f t="shared" si="5"/>
        <v>NSH17_80</v>
      </c>
      <c r="B343" s="120">
        <v>0.82</v>
      </c>
      <c r="C343" s="47">
        <v>1</v>
      </c>
      <c r="D343" s="121">
        <v>1</v>
      </c>
      <c r="E343" s="120">
        <v>0.82</v>
      </c>
      <c r="F343" s="49">
        <v>1</v>
      </c>
      <c r="G343" s="121">
        <v>1</v>
      </c>
      <c r="H343" s="120">
        <v>0.82</v>
      </c>
      <c r="I343" s="49">
        <v>1</v>
      </c>
      <c r="J343" s="121">
        <v>1</v>
      </c>
      <c r="K343" s="120">
        <v>0.82</v>
      </c>
      <c r="L343" s="49">
        <v>1</v>
      </c>
      <c r="M343" s="121">
        <v>1</v>
      </c>
      <c r="N343" s="120">
        <v>0.82</v>
      </c>
      <c r="O343" s="49">
        <v>1</v>
      </c>
      <c r="P343" s="121">
        <v>1</v>
      </c>
      <c r="Q343">
        <v>80</v>
      </c>
      <c r="R343" t="s">
        <v>101</v>
      </c>
    </row>
    <row r="344" spans="1:18" x14ac:dyDescent="0.2">
      <c r="A344" t="str">
        <f t="shared" si="5"/>
        <v>NSH17_90</v>
      </c>
      <c r="B344" s="120">
        <v>0.76</v>
      </c>
      <c r="C344" s="47">
        <v>1</v>
      </c>
      <c r="D344" s="121">
        <v>1</v>
      </c>
      <c r="E344" s="120">
        <v>0.76</v>
      </c>
      <c r="F344" s="49">
        <v>1</v>
      </c>
      <c r="G344" s="121">
        <v>1</v>
      </c>
      <c r="H344" s="120">
        <v>0.76</v>
      </c>
      <c r="I344" s="49">
        <v>1</v>
      </c>
      <c r="J344" s="121">
        <v>1</v>
      </c>
      <c r="K344" s="120">
        <v>0.76</v>
      </c>
      <c r="L344" s="49">
        <v>1</v>
      </c>
      <c r="M344" s="121">
        <v>1</v>
      </c>
      <c r="N344" s="120">
        <v>0.76</v>
      </c>
      <c r="O344" s="49">
        <v>1</v>
      </c>
      <c r="P344" s="121">
        <v>1</v>
      </c>
      <c r="Q344">
        <v>90</v>
      </c>
      <c r="R344" t="s">
        <v>101</v>
      </c>
    </row>
    <row r="345" spans="1:18" x14ac:dyDescent="0.2">
      <c r="A345" t="str">
        <f t="shared" si="5"/>
        <v>NSH17_100</v>
      </c>
      <c r="B345" s="120">
        <v>0.7</v>
      </c>
      <c r="C345" s="47">
        <v>1</v>
      </c>
      <c r="D345" s="121">
        <v>1</v>
      </c>
      <c r="E345" s="120">
        <v>0.7</v>
      </c>
      <c r="F345" s="49">
        <v>1</v>
      </c>
      <c r="G345" s="121">
        <v>1</v>
      </c>
      <c r="H345" s="120">
        <v>0.7</v>
      </c>
      <c r="I345" s="49">
        <v>1</v>
      </c>
      <c r="J345" s="121">
        <v>1</v>
      </c>
      <c r="K345" s="120">
        <v>0.7</v>
      </c>
      <c r="L345" s="49">
        <v>1</v>
      </c>
      <c r="M345" s="121">
        <v>1</v>
      </c>
      <c r="N345" s="120">
        <v>0.7</v>
      </c>
      <c r="O345" s="49">
        <v>1</v>
      </c>
      <c r="P345" s="121">
        <v>1</v>
      </c>
      <c r="Q345">
        <v>100</v>
      </c>
      <c r="R345" t="s">
        <v>101</v>
      </c>
    </row>
    <row r="346" spans="1:18" x14ac:dyDescent="0.2">
      <c r="A346" t="str">
        <f t="shared" si="5"/>
        <v>NSH17_110</v>
      </c>
      <c r="B346" s="120">
        <v>0.7</v>
      </c>
      <c r="C346" s="49">
        <v>1</v>
      </c>
      <c r="D346" s="121">
        <v>0.875</v>
      </c>
      <c r="E346" s="120">
        <v>0.7</v>
      </c>
      <c r="F346" s="49">
        <v>1</v>
      </c>
      <c r="G346" s="121">
        <v>0.875</v>
      </c>
      <c r="H346" s="120">
        <v>0.7</v>
      </c>
      <c r="I346" s="49">
        <v>1</v>
      </c>
      <c r="J346" s="121">
        <v>0.875</v>
      </c>
      <c r="K346" s="120">
        <v>0.7</v>
      </c>
      <c r="L346" s="49">
        <v>1</v>
      </c>
      <c r="M346" s="121">
        <v>0.875</v>
      </c>
      <c r="N346" s="120">
        <v>0.7</v>
      </c>
      <c r="O346" s="49">
        <v>1</v>
      </c>
      <c r="P346" s="121">
        <v>0.75</v>
      </c>
      <c r="Q346" s="49">
        <v>110</v>
      </c>
      <c r="R346" t="s">
        <v>101</v>
      </c>
    </row>
    <row r="347" spans="1:18" x14ac:dyDescent="0.2">
      <c r="A347" t="str">
        <f t="shared" si="5"/>
        <v>NSH17_120</v>
      </c>
      <c r="B347" s="120">
        <v>0.7</v>
      </c>
      <c r="C347" s="49">
        <v>1</v>
      </c>
      <c r="D347" s="121">
        <v>0.75</v>
      </c>
      <c r="E347" s="120">
        <v>0.7</v>
      </c>
      <c r="F347" s="49">
        <v>1</v>
      </c>
      <c r="G347" s="121">
        <v>0.75</v>
      </c>
      <c r="H347" s="120">
        <v>0.7</v>
      </c>
      <c r="I347" s="49">
        <v>1</v>
      </c>
      <c r="J347" s="121">
        <v>0.75</v>
      </c>
      <c r="K347" s="120">
        <v>0.7</v>
      </c>
      <c r="L347" s="49">
        <v>1</v>
      </c>
      <c r="M347" s="121">
        <v>0.75</v>
      </c>
      <c r="N347" s="120">
        <v>0.7</v>
      </c>
      <c r="O347" s="49">
        <v>1</v>
      </c>
      <c r="P347" s="121">
        <v>0.5</v>
      </c>
      <c r="Q347" s="49">
        <v>120</v>
      </c>
      <c r="R347" t="s">
        <v>101</v>
      </c>
    </row>
    <row r="348" spans="1:18" x14ac:dyDescent="0.2">
      <c r="A348" t="str">
        <f t="shared" si="5"/>
        <v/>
      </c>
    </row>
    <row r="349" spans="1:18" x14ac:dyDescent="0.2">
      <c r="A349" t="str">
        <f>IF(R349="","",CONCATENATE(R349,"_",Q349))</f>
        <v>NPH18_0</v>
      </c>
      <c r="B349" s="120">
        <v>1.4</v>
      </c>
      <c r="C349" s="49">
        <v>1</v>
      </c>
      <c r="D349" s="121">
        <v>1</v>
      </c>
      <c r="E349" s="120">
        <v>0</v>
      </c>
      <c r="F349" s="49">
        <v>0</v>
      </c>
      <c r="G349" s="121">
        <v>0</v>
      </c>
      <c r="H349" s="120">
        <v>2</v>
      </c>
      <c r="I349" s="49">
        <v>1</v>
      </c>
      <c r="J349" s="121">
        <v>1</v>
      </c>
      <c r="K349" s="120">
        <v>1.7</v>
      </c>
      <c r="L349" s="49">
        <v>1</v>
      </c>
      <c r="M349" s="121">
        <v>1</v>
      </c>
      <c r="N349" s="120">
        <v>2</v>
      </c>
      <c r="O349" s="49">
        <v>1</v>
      </c>
      <c r="P349" s="121">
        <v>1</v>
      </c>
      <c r="Q349" s="211">
        <v>0</v>
      </c>
      <c r="R349" s="49" t="s">
        <v>171</v>
      </c>
    </row>
    <row r="350" spans="1:18" x14ac:dyDescent="0.2">
      <c r="A350" t="str">
        <f t="shared" si="5"/>
        <v>NPH18_20</v>
      </c>
      <c r="B350" s="120">
        <v>1</v>
      </c>
      <c r="C350" s="47">
        <v>1</v>
      </c>
      <c r="D350" s="121">
        <v>1</v>
      </c>
      <c r="E350" s="120">
        <v>0</v>
      </c>
      <c r="F350" s="49">
        <v>0</v>
      </c>
      <c r="G350" s="121">
        <v>0</v>
      </c>
      <c r="H350" s="120">
        <v>1</v>
      </c>
      <c r="I350" s="47">
        <v>1</v>
      </c>
      <c r="J350" s="121">
        <v>1</v>
      </c>
      <c r="K350" s="120">
        <v>1</v>
      </c>
      <c r="L350" s="47">
        <v>1</v>
      </c>
      <c r="M350" s="121">
        <v>1</v>
      </c>
      <c r="N350" s="120">
        <v>1</v>
      </c>
      <c r="O350" s="47">
        <v>1</v>
      </c>
      <c r="P350" s="121">
        <v>1</v>
      </c>
      <c r="Q350" s="211">
        <v>20</v>
      </c>
      <c r="R350" s="49" t="s">
        <v>171</v>
      </c>
    </row>
    <row r="351" spans="1:18" x14ac:dyDescent="0.2">
      <c r="A351" t="str">
        <f t="shared" si="5"/>
        <v>NPH18_40</v>
      </c>
      <c r="B351" s="120">
        <v>0.7</v>
      </c>
      <c r="C351" s="49">
        <v>1</v>
      </c>
      <c r="D351" s="121">
        <v>1</v>
      </c>
      <c r="E351" s="120">
        <v>0</v>
      </c>
      <c r="F351" s="49">
        <v>0</v>
      </c>
      <c r="G351" s="121">
        <v>0</v>
      </c>
      <c r="H351" s="120">
        <v>0.7</v>
      </c>
      <c r="I351" s="49">
        <v>1</v>
      </c>
      <c r="J351" s="121">
        <v>1</v>
      </c>
      <c r="K351" s="120">
        <v>0.7</v>
      </c>
      <c r="L351" s="49">
        <v>1</v>
      </c>
      <c r="M351" s="121">
        <v>1</v>
      </c>
      <c r="N351" s="120">
        <v>0.7</v>
      </c>
      <c r="O351" s="49">
        <v>1</v>
      </c>
      <c r="P351" s="121">
        <v>1</v>
      </c>
      <c r="Q351" s="211">
        <v>40</v>
      </c>
      <c r="R351" s="49" t="s">
        <v>171</v>
      </c>
    </row>
    <row r="352" spans="1:18" x14ac:dyDescent="0.2">
      <c r="A352" t="str">
        <f>IF(R352="","",CONCATENATE(R352,"_",Q352))</f>
        <v>NPH18_50</v>
      </c>
      <c r="B352" s="120">
        <v>0.55000000000000004</v>
      </c>
      <c r="C352" s="49">
        <v>1</v>
      </c>
      <c r="D352" s="121">
        <v>1</v>
      </c>
      <c r="E352" s="120">
        <v>0</v>
      </c>
      <c r="F352" s="49">
        <v>0</v>
      </c>
      <c r="G352" s="121">
        <v>0</v>
      </c>
      <c r="H352" s="120">
        <v>0.55000000000000004</v>
      </c>
      <c r="I352" s="49">
        <v>1</v>
      </c>
      <c r="J352" s="121">
        <v>1</v>
      </c>
      <c r="K352" s="120">
        <v>0.55000000000000004</v>
      </c>
      <c r="L352" s="49">
        <v>1</v>
      </c>
      <c r="M352" s="121">
        <v>1</v>
      </c>
      <c r="N352" s="120">
        <v>0.55000000000000004</v>
      </c>
      <c r="O352" s="49">
        <v>1</v>
      </c>
      <c r="P352" s="121">
        <v>1</v>
      </c>
      <c r="Q352" s="211">
        <v>50</v>
      </c>
      <c r="R352" s="49" t="s">
        <v>171</v>
      </c>
    </row>
    <row r="353" spans="1:18" x14ac:dyDescent="0.2">
      <c r="C353" s="49"/>
      <c r="F353" s="49"/>
      <c r="I353" s="49"/>
      <c r="L353" s="49"/>
      <c r="O353" s="49"/>
      <c r="Q353" s="49"/>
      <c r="R353" s="49"/>
    </row>
    <row r="354" spans="1:18" x14ac:dyDescent="0.2">
      <c r="A354" t="str">
        <f t="shared" ref="A354:A362" si="6">IF(R354="","",CONCATENATE(R354,"_",Q354))</f>
        <v>NVS18_Typ1_0</v>
      </c>
      <c r="B354" s="120">
        <v>1.4</v>
      </c>
      <c r="C354" s="47">
        <v>1</v>
      </c>
      <c r="D354" s="121">
        <v>1</v>
      </c>
      <c r="E354" s="120">
        <v>0</v>
      </c>
      <c r="F354" s="49">
        <v>0</v>
      </c>
      <c r="G354" s="121">
        <v>0</v>
      </c>
      <c r="H354" s="120">
        <v>2</v>
      </c>
      <c r="I354" s="47">
        <v>1</v>
      </c>
      <c r="J354" s="121">
        <v>1</v>
      </c>
      <c r="K354" s="120">
        <v>1.7</v>
      </c>
      <c r="L354" s="47">
        <v>1</v>
      </c>
      <c r="M354" s="121">
        <v>1</v>
      </c>
      <c r="N354" s="120">
        <v>2</v>
      </c>
      <c r="O354" s="47">
        <v>1</v>
      </c>
      <c r="P354" s="121">
        <v>1</v>
      </c>
      <c r="Q354" s="211">
        <v>0</v>
      </c>
      <c r="R354" s="49" t="s">
        <v>204</v>
      </c>
    </row>
    <row r="355" spans="1:18" x14ac:dyDescent="0.2">
      <c r="A355" t="str">
        <f t="shared" si="6"/>
        <v>NVS18_Typ1_30</v>
      </c>
      <c r="B355" s="120">
        <v>1</v>
      </c>
      <c r="C355" s="47">
        <v>1</v>
      </c>
      <c r="D355" s="121">
        <v>1</v>
      </c>
      <c r="E355" s="120">
        <v>0</v>
      </c>
      <c r="F355" s="49">
        <v>0</v>
      </c>
      <c r="G355" s="121">
        <v>0</v>
      </c>
      <c r="H355" s="120">
        <v>1</v>
      </c>
      <c r="I355" s="47">
        <v>1</v>
      </c>
      <c r="J355" s="121">
        <v>1</v>
      </c>
      <c r="K355" s="120">
        <v>1</v>
      </c>
      <c r="L355" s="47">
        <v>1</v>
      </c>
      <c r="M355" s="121">
        <v>1</v>
      </c>
      <c r="N355" s="120">
        <v>1</v>
      </c>
      <c r="O355" s="47">
        <v>1</v>
      </c>
      <c r="P355" s="121">
        <v>1</v>
      </c>
      <c r="Q355" s="211">
        <v>30</v>
      </c>
      <c r="R355" s="49" t="s">
        <v>204</v>
      </c>
    </row>
    <row r="356" spans="1:18" x14ac:dyDescent="0.2">
      <c r="A356" t="str">
        <f t="shared" si="6"/>
        <v>NVS18_Typ1_60</v>
      </c>
      <c r="B356" s="120">
        <v>0.7</v>
      </c>
      <c r="C356" s="47">
        <v>1</v>
      </c>
      <c r="D356" s="121">
        <v>1</v>
      </c>
      <c r="E356" s="120">
        <v>0</v>
      </c>
      <c r="F356" s="49">
        <v>0</v>
      </c>
      <c r="G356" s="121">
        <v>0</v>
      </c>
      <c r="H356" s="120">
        <v>0.7</v>
      </c>
      <c r="I356" s="47">
        <v>1</v>
      </c>
      <c r="J356" s="121">
        <v>1</v>
      </c>
      <c r="K356" s="120">
        <v>0.7</v>
      </c>
      <c r="L356" s="47">
        <v>1</v>
      </c>
      <c r="M356" s="121">
        <v>1</v>
      </c>
      <c r="N356" s="120">
        <v>0.7</v>
      </c>
      <c r="O356" s="47">
        <v>1</v>
      </c>
      <c r="P356" s="121">
        <v>1</v>
      </c>
      <c r="Q356" s="211">
        <v>60</v>
      </c>
      <c r="R356" s="49" t="s">
        <v>204</v>
      </c>
    </row>
    <row r="357" spans="1:18" x14ac:dyDescent="0.2">
      <c r="A357" t="str">
        <f t="shared" si="6"/>
        <v>NVS18_Typ1_80</v>
      </c>
      <c r="B357" s="120">
        <v>0.55000000000000004</v>
      </c>
      <c r="C357" s="47">
        <v>1</v>
      </c>
      <c r="D357" s="121">
        <v>1</v>
      </c>
      <c r="E357" s="120">
        <v>0</v>
      </c>
      <c r="F357" s="49">
        <v>0</v>
      </c>
      <c r="G357" s="121">
        <v>0</v>
      </c>
      <c r="H357" s="120">
        <v>0.55000000000000004</v>
      </c>
      <c r="I357" s="47">
        <v>1</v>
      </c>
      <c r="J357" s="121">
        <v>1</v>
      </c>
      <c r="K357" s="120">
        <v>0.55000000000000004</v>
      </c>
      <c r="L357" s="47">
        <v>1</v>
      </c>
      <c r="M357" s="121">
        <v>1</v>
      </c>
      <c r="N357" s="120">
        <v>0.55000000000000004</v>
      </c>
      <c r="O357" s="47">
        <v>1</v>
      </c>
      <c r="P357" s="121">
        <v>1</v>
      </c>
      <c r="Q357" s="211">
        <v>80</v>
      </c>
      <c r="R357" s="49" t="s">
        <v>204</v>
      </c>
    </row>
    <row r="358" spans="1:18" x14ac:dyDescent="0.2">
      <c r="A358" t="str">
        <f t="shared" si="6"/>
        <v/>
      </c>
    </row>
    <row r="359" spans="1:18" x14ac:dyDescent="0.2">
      <c r="A359" t="str">
        <f t="shared" si="6"/>
        <v>NVS18_Typ2_0</v>
      </c>
      <c r="B359" s="120">
        <v>1.4</v>
      </c>
      <c r="C359" s="47">
        <v>1</v>
      </c>
      <c r="D359" s="121">
        <v>1</v>
      </c>
      <c r="E359" s="120">
        <v>0</v>
      </c>
      <c r="F359" s="49">
        <v>0</v>
      </c>
      <c r="G359" s="121">
        <v>0</v>
      </c>
      <c r="H359" s="120">
        <v>2</v>
      </c>
      <c r="I359" s="47">
        <v>1</v>
      </c>
      <c r="J359" s="121">
        <v>1</v>
      </c>
      <c r="K359" s="120">
        <v>1.7</v>
      </c>
      <c r="L359" s="47">
        <v>1</v>
      </c>
      <c r="M359" s="121">
        <v>1</v>
      </c>
      <c r="N359" s="120">
        <v>2</v>
      </c>
      <c r="O359" s="47">
        <v>1</v>
      </c>
      <c r="P359" s="121">
        <v>1</v>
      </c>
      <c r="Q359" s="211">
        <v>0</v>
      </c>
      <c r="R359" s="49" t="s">
        <v>205</v>
      </c>
    </row>
    <row r="360" spans="1:18" x14ac:dyDescent="0.2">
      <c r="A360" t="str">
        <f t="shared" si="6"/>
        <v>NVS18_Typ2_30</v>
      </c>
      <c r="B360" s="120">
        <v>1</v>
      </c>
      <c r="C360" s="47">
        <v>1</v>
      </c>
      <c r="D360" s="121">
        <v>1</v>
      </c>
      <c r="E360" s="120">
        <v>0</v>
      </c>
      <c r="F360" s="49">
        <v>0</v>
      </c>
      <c r="G360" s="121">
        <v>0</v>
      </c>
      <c r="H360" s="120">
        <v>1</v>
      </c>
      <c r="I360" s="47">
        <v>1</v>
      </c>
      <c r="J360" s="121">
        <v>1</v>
      </c>
      <c r="K360" s="120">
        <v>1</v>
      </c>
      <c r="L360" s="47">
        <v>1</v>
      </c>
      <c r="M360" s="121">
        <v>1</v>
      </c>
      <c r="N360" s="120">
        <v>1</v>
      </c>
      <c r="O360" s="47">
        <v>1</v>
      </c>
      <c r="P360" s="121">
        <v>1</v>
      </c>
      <c r="Q360" s="211">
        <v>30</v>
      </c>
      <c r="R360" s="49" t="s">
        <v>205</v>
      </c>
    </row>
    <row r="361" spans="1:18" x14ac:dyDescent="0.2">
      <c r="A361" t="str">
        <f t="shared" si="6"/>
        <v>NVS18_Typ2_60</v>
      </c>
      <c r="B361" s="120">
        <v>0.7</v>
      </c>
      <c r="C361" s="47">
        <v>1</v>
      </c>
      <c r="D361" s="121">
        <v>1</v>
      </c>
      <c r="E361" s="120">
        <v>0</v>
      </c>
      <c r="F361" s="49">
        <v>0</v>
      </c>
      <c r="G361" s="121">
        <v>0</v>
      </c>
      <c r="H361" s="120">
        <v>0.7</v>
      </c>
      <c r="I361" s="47">
        <v>1</v>
      </c>
      <c r="J361" s="121">
        <v>1</v>
      </c>
      <c r="K361" s="120">
        <v>0.7</v>
      </c>
      <c r="L361" s="47">
        <v>1</v>
      </c>
      <c r="M361" s="121">
        <v>1</v>
      </c>
      <c r="N361" s="120">
        <v>0.7</v>
      </c>
      <c r="O361" s="47">
        <v>1</v>
      </c>
      <c r="P361" s="121">
        <v>1</v>
      </c>
      <c r="Q361" s="211">
        <v>60</v>
      </c>
      <c r="R361" s="49" t="s">
        <v>205</v>
      </c>
    </row>
    <row r="362" spans="1:18" x14ac:dyDescent="0.2">
      <c r="A362" t="str">
        <f t="shared" si="6"/>
        <v>NVS18_Typ2_80</v>
      </c>
      <c r="B362" s="120">
        <v>0.55000000000000004</v>
      </c>
      <c r="C362" s="47">
        <v>1</v>
      </c>
      <c r="D362" s="121">
        <v>1</v>
      </c>
      <c r="E362" s="120">
        <v>0</v>
      </c>
      <c r="F362" s="49">
        <v>0</v>
      </c>
      <c r="G362" s="121">
        <v>0</v>
      </c>
      <c r="H362" s="120">
        <v>0.55000000000000004</v>
      </c>
      <c r="I362" s="47">
        <v>1</v>
      </c>
      <c r="J362" s="121">
        <v>1</v>
      </c>
      <c r="K362" s="120">
        <v>0.55000000000000004</v>
      </c>
      <c r="L362" s="47">
        <v>1</v>
      </c>
      <c r="M362" s="121">
        <v>1</v>
      </c>
      <c r="N362" s="120">
        <v>0.55000000000000004</v>
      </c>
      <c r="O362" s="47">
        <v>1</v>
      </c>
      <c r="P362" s="121">
        <v>1</v>
      </c>
      <c r="Q362" s="211">
        <v>80</v>
      </c>
      <c r="R362" s="49" t="s">
        <v>205</v>
      </c>
    </row>
    <row r="363" spans="1:18" x14ac:dyDescent="0.2">
      <c r="A363" t="str">
        <f t="shared" ref="A363:A416" si="7">IF(R363="","",CONCATENATE(R363,"_",Q363))</f>
        <v/>
      </c>
    </row>
    <row r="364" spans="1:18" x14ac:dyDescent="0.2">
      <c r="A364" t="str">
        <f t="shared" si="7"/>
        <v>MIX12_0</v>
      </c>
      <c r="B364" s="120">
        <f>IF('DGNB LCA Results'!$P$4=4,VLOOKUP(CONCATENATE('DGNB LCA Results'!$M$3,"_",Q364), $A$2:$P$352,2,FALSE)*'DGNB LCA Results'!$N$3+
                                                                  VLOOKUP(CONCATENATE('DGNB LCA Results'!$K$3,"_",Q364), $A$2:$P$352,2,FALSE)*'DGNB LCA Results'!$L$3+
                                                                  VLOOKUP(CONCATENATE('DGNB LCA Results'!$I$3,"_",Q364), $A$2:$P$352,2,FALSE)*'DGNB LCA Results'!$J$3+
                                                                  VLOOKUP(CONCATENATE('DGNB LCA Results'!$G$3,"_",Q364), $A$2:$P$352,2,FALSE)*'DGNB LCA Results'!$H$3,
IF('DGNB LCA Results'!$P$4=3,VLOOKUP(CONCATENATE('DGNB LCA Results'!$M$3,"_",Q364), $A$2:$P$352,2,FALSE)*'DGNB LCA Results'!$N$3+
                                                                VLOOKUP(CONCATENATE('DGNB LCA Results'!$K$3,"_",Q364), $A$2:$P$352,2,FALSE)*'DGNB LCA Results'!$L$3+
                                                                VLOOKUP(CONCATENATE('DGNB LCA Results'!$I$3,"_",Q364),$A$2:$P$352,2,FALSE)*'DGNB LCA Results'!$J$3,
IF('DGNB LCA Results'!$P$4=2,VLOOKUP(CONCATENATE('DGNB LCA Results'!$M$3,"_",Q364), $A$2:$P$352,2,FALSE)*'DGNB LCA Results'!$N$3+
                                                                 VLOOKUP(CONCATENATE('DGNB LCA Results'!$K$3,"_",Q364),$A$2:$P$352,2,FALSE)*'DGNB LCA Results'!$L$3,
IF('DGNB LCA Results'!$P$4=1,VLOOKUP(CONCATENATE('DGNB LCA Results'!$M$3,"_",Q364), $A$2:$P$352,2,FALSE)*'DGNB LCA Results'!$N$3,0))))</f>
        <v>0</v>
      </c>
      <c r="C364" s="49">
        <f>IF('DGNB LCA Results'!$P$4=4,VLOOKUP(CONCATENATE('DGNB LCA Results'!$M$3,"_",Q364), $A$2:$P$352,3,FALSE)*'DGNB LCA Results'!$N$3+
                                                                  VLOOKUP(CONCATENATE('DGNB LCA Results'!$K$3,"_",Q364), $A$2:$P$352,3,FALSE)*'DGNB LCA Results'!$L$3+
                                                                  VLOOKUP(CONCATENATE('DGNB LCA Results'!$I$3,"_",Q364), $A$2:$P$352,3,FALSE)*'DGNB LCA Results'!$J$3+
                                                                  VLOOKUP(CONCATENATE('DGNB LCA Results'!$G$3,"_",Q364), $A$2:$P$352,3,FALSE)*'DGNB LCA Results'!$H$3,
IF('DGNB LCA Results'!$P$4=3,VLOOKUP(CONCATENATE('DGNB LCA Results'!$M$3,"_",Q364), $A$2:$P$352,3,FALSE)*'DGNB LCA Results'!$N$3+
                                                                VLOOKUP(CONCATENATE('DGNB LCA Results'!$K$3,"_",Q364), $A$2:$P$352,3,FALSE)*'DGNB LCA Results'!$L$3+
                                                                VLOOKUP(CONCATENATE('DGNB LCA Results'!$I$3,"_",Q364),$A$2:$P$352,3,FALSE)*'DGNB LCA Results'!$J$3,
IF('DGNB LCA Results'!$P$4=2,VLOOKUP(CONCATENATE('DGNB LCA Results'!$M$3,"_",Q364), $A$2:$P$352,3,FALSE)*'DGNB LCA Results'!$N$3+
                                                                 VLOOKUP(CONCATENATE('DGNB LCA Results'!$K$3,"_",Q364),$A$2:$P$352,3,FALSE)*'DGNB LCA Results'!$L$3,
IF('DGNB LCA Results'!$P$4=1,VLOOKUP(CONCATENATE('DGNB LCA Results'!$M$3,"_",Q364), $A$2:$P$352,3,FALSE)*'DGNB LCA Results'!$N$3,0))))</f>
        <v>0</v>
      </c>
      <c r="D364" s="49">
        <f>IF('DGNB LCA Results'!$P$4=4,VLOOKUP(CONCATENATE('DGNB LCA Results'!$M$3,"_",Q364), $A$2:$P$352,4,FALSE)*'DGNB LCA Results'!$N$3+
                                                                  VLOOKUP(CONCATENATE('DGNB LCA Results'!$K$3,"_",Q364), $A$2:$P$352,4,FALSE)*'DGNB LCA Results'!$L$3+
                                                                  VLOOKUP(CONCATENATE('DGNB LCA Results'!$I$3,"_",Q364), $A$2:$P$352,4,FALSE)*'DGNB LCA Results'!$J$3+
                                                                  VLOOKUP(CONCATENATE('DGNB LCA Results'!$G$3,"_",Q364), $A$2:$P$352,4,FALSE)*'DGNB LCA Results'!$H$3,
IF('DGNB LCA Results'!$P$4=3,VLOOKUP(CONCATENATE('DGNB LCA Results'!$M$3,"_",Q364), $A$2:$P$352,4,FALSE)*'DGNB LCA Results'!$N$3+
                                                                VLOOKUP(CONCATENATE('DGNB LCA Results'!$K$3,"_",Q364), $A$2:$P$352,4,FALSE)*'DGNB LCA Results'!$L$3+
                                                                VLOOKUP(CONCATENATE('DGNB LCA Results'!$I$3,"_",Q364),$A$2:$P$352,4,FALSE)*'DGNB LCA Results'!$J$3,
IF('DGNB LCA Results'!$P$4=2,VLOOKUP(CONCATENATE('DGNB LCA Results'!$M$3,"_",Q364), $A$2:$P$352,4,FALSE)*'DGNB LCA Results'!$N$3+
                                                                 VLOOKUP(CONCATENATE('DGNB LCA Results'!$K$3,"_",Q364),$A$2:$P$352,4,FALSE)*'DGNB LCA Results'!$L$3,
IF('DGNB LCA Results'!$P$4=1,VLOOKUP(CONCATENATE('DGNB LCA Results'!$M$3,"_",Q364), $A$2:$P$352,4,FALSE)*'DGNB LCA Results'!$N$3,0))))</f>
        <v>0</v>
      </c>
      <c r="E364" s="120">
        <f>IF('DGNB LCA Results'!$P$4=4,VLOOKUP(CONCATENATE('DGNB LCA Results'!$M$3,"_",Q364), $A$2:$P$352,5,FALSE)*'DGNB LCA Results'!$N$3+
                                                                  VLOOKUP(CONCATENATE('DGNB LCA Results'!$K$3,"_",Q364), $A$2:$P$352,5,FALSE)*'DGNB LCA Results'!$L$3+
                                                                  VLOOKUP(CONCATENATE('DGNB LCA Results'!$I$3,"_",Q364), $A$2:$P$352,5,FALSE)*'DGNB LCA Results'!$J$3+
                                                                  VLOOKUP(CONCATENATE('DGNB LCA Results'!$G$3,"_",Q364), $A$2:$P$352,5,FALSE)*'DGNB LCA Results'!$H$3,
IF('DGNB LCA Results'!$P$4=3,VLOOKUP(CONCATENATE('DGNB LCA Results'!$M$3,"_",Q364), $A$2:$P$352,5,FALSE)*'DGNB LCA Results'!$N$3+
                                                                VLOOKUP(CONCATENATE('DGNB LCA Results'!$K$3,"_",Q364), $A$2:$P$352,5,FALSE)*'DGNB LCA Results'!$L$3+
                                                                VLOOKUP(CONCATENATE('DGNB LCA Results'!$I$3,"_",Q364),$A$2:$P$352,5,FALSE)*'DGNB LCA Results'!$J$3,
IF('DGNB LCA Results'!$P$4=2,VLOOKUP(CONCATENATE('DGNB LCA Results'!$M$3,"_",Q364), $A$2:$P$352,5,FALSE)*'DGNB LCA Results'!$N$3+
                                                                 VLOOKUP(CONCATENATE('DGNB LCA Results'!$K$3,"_",Q364),$A$2:$P$352,5,FALSE)*'DGNB LCA Results'!$L$3,
IF('DGNB LCA Results'!$P$4=1,VLOOKUP(CONCATENATE('DGNB LCA Results'!$M$3,"_",Q364), $A$2:$P$352,5,FALSE)*'DGNB LCA Results'!$N$3,0))))</f>
        <v>0</v>
      </c>
      <c r="F364" s="47">
        <f>IF('DGNB LCA Results'!$P$4=4,VLOOKUP(CONCATENATE('DGNB LCA Results'!$M$3,"_",Q364), $A$2:$P$352,6,FALSE)*'DGNB LCA Results'!$N$3+
                                                                  VLOOKUP(CONCATENATE('DGNB LCA Results'!$K$3,"_",Q364), $A$2:$P$352,6,FALSE)*'DGNB LCA Results'!$L$3+
                                                                  VLOOKUP(CONCATENATE('DGNB LCA Results'!$I$3,"_",Q364), $A$2:$P$352,6,FALSE)*'DGNB LCA Results'!$J$3+
                                                                  VLOOKUP(CONCATENATE('DGNB LCA Results'!$G$3,"_",Q364), $A$2:$P$352,6,FALSE)*'DGNB LCA Results'!$H$3,
IF('DGNB LCA Results'!$P$4=3,VLOOKUP(CONCATENATE('DGNB LCA Results'!$M$3,"_",Q364), $A$2:$P$352,6,FALSE)*'DGNB LCA Results'!$N$3+
                                                                VLOOKUP(CONCATENATE('DGNB LCA Results'!$K$3,"_",Q364), $A$2:$P$352,6,FALSE)*'DGNB LCA Results'!$L$3+
                                                                VLOOKUP(CONCATENATE('DGNB LCA Results'!$I$3,"_",Q364),$A$2:$P$352,6,FALSE)*'DGNB LCA Results'!$J$3,
IF('DGNB LCA Results'!$P$4=2,VLOOKUP(CONCATENATE('DGNB LCA Results'!$M$3,"_",Q364), $A$2:$P$352,6,FALSE)*'DGNB LCA Results'!$N$3+
                                                                 VLOOKUP(CONCATENATE('DGNB LCA Results'!$K$3,"_",Q364),$A$2:$P$352,6,FALSE)*'DGNB LCA Results'!$L$3,
IF('DGNB LCA Results'!$P$4=1,VLOOKUP(CONCATENATE('DGNB LCA Results'!$M$3,"_",Q364), $A$2:$P$352,6,FALSE)*'DGNB LCA Results'!$N$3,0))))</f>
        <v>0</v>
      </c>
      <c r="G364" s="121">
        <f>IF('DGNB LCA Results'!$P$4=4,VLOOKUP(CONCATENATE('DGNB LCA Results'!$M$3,"_",Q364), $A$2:$P$352,7,FALSE)*'DGNB LCA Results'!$N$3+
                                                                  VLOOKUP(CONCATENATE('DGNB LCA Results'!$K$3,"_",Q364), $A$2:$P$352,7,FALSE)*'DGNB LCA Results'!$L$3+
                                                                  VLOOKUP(CONCATENATE('DGNB LCA Results'!$I$3,"_",Q364), $A$2:$P$352,7,FALSE)*'DGNB LCA Results'!$J$3+
                                                                  VLOOKUP(CONCATENATE('DGNB LCA Results'!$G$3,"_",Q364), $A$2:$P$352,7,FALSE)*'DGNB LCA Results'!$H$3,
IF('DGNB LCA Results'!$P$4=3,VLOOKUP(CONCATENATE('DGNB LCA Results'!$M$3,"_",Q364), $A$2:$P$352,7,FALSE)*'DGNB LCA Results'!$N$3+
                                                                VLOOKUP(CONCATENATE('DGNB LCA Results'!$K$3,"_",Q364), $A$2:$P$352,7,FALSE)*'DGNB LCA Results'!$L$3+
                                                                VLOOKUP(CONCATENATE('DGNB LCA Results'!$I$3,"_",Q364),$A$2:$P$352,7,FALSE)*'DGNB LCA Results'!$J$3,
IF('DGNB LCA Results'!$P$4=2,VLOOKUP(CONCATENATE('DGNB LCA Results'!$M$3,"_",Q364), $A$2:$P$352,7,FALSE)*'DGNB LCA Results'!$N$3+
                                                                 VLOOKUP(CONCATENATE('DGNB LCA Results'!$K$3,"_",Q364),$A$2:$P$352,7,FALSE)*'DGNB LCA Results'!$L$3,
IF('DGNB LCA Results'!$P$4=1,VLOOKUP(CONCATENATE('DGNB LCA Results'!$M$3,"_",Q364), $A$2:$P$352,7,FALSE)*'DGNB LCA Results'!$N$3,0))))</f>
        <v>0</v>
      </c>
      <c r="H364" s="120">
        <f>IF('DGNB LCA Results'!$P$4=4,VLOOKUP(CONCATENATE('DGNB LCA Results'!$M$3,"_",Q364), $A$2:$P$352,8,FALSE)*'DGNB LCA Results'!$N$3+
                                                                  VLOOKUP(CONCATENATE('DGNB LCA Results'!$K$3,"_",Q364), $A$2:$P$352,8,FALSE)*'DGNB LCA Results'!$L$3+
                                                                  VLOOKUP(CONCATENATE('DGNB LCA Results'!$I$3,"_",Q364), $A$2:$P$352,8,FALSE)*'DGNB LCA Results'!$J$3+
                                                                  VLOOKUP(CONCATENATE('DGNB LCA Results'!$G$3,"_",Q364), $A$2:$P$352,8,FALSE)*'DGNB LCA Results'!$H$3,
IF('DGNB LCA Results'!$P$4=3,VLOOKUP(CONCATENATE('DGNB LCA Results'!$M$3,"_",Q364), $A$2:$P$352,8,FALSE)*'DGNB LCA Results'!$N$3+
                                                                VLOOKUP(CONCATENATE('DGNB LCA Results'!$K$3,"_",Q364), $A$2:$P$352,8,FALSE)*'DGNB LCA Results'!$L$3+
                                                                VLOOKUP(CONCATENATE('DGNB LCA Results'!$I$3,"_",Q364),$A$2:$P$352,8,FALSE)*'DGNB LCA Results'!$J$3,
IF('DGNB LCA Results'!$P$4=2,VLOOKUP(CONCATENATE('DGNB LCA Results'!$M$3,"_",Q364), $A$2:$P$352,8,FALSE)*'DGNB LCA Results'!$N$3+
                                                                 VLOOKUP(CONCATENATE('DGNB LCA Results'!$K$3,"_",Q364),$A$2:$P$352,8,FALSE)*'DGNB LCA Results'!$L$3,
IF('DGNB LCA Results'!$P$4=1,VLOOKUP(CONCATENATE('DGNB LCA Results'!$M$3,"_",Q364), $A$2:$P$352,8,FALSE)*'DGNB LCA Results'!$N$3,0))))</f>
        <v>0</v>
      </c>
      <c r="I364" s="47">
        <f>IF('DGNB LCA Results'!$P$4=4,VLOOKUP(CONCATENATE('DGNB LCA Results'!$M$3,"_",Q364), $A$2:$P$352,9,FALSE)*'DGNB LCA Results'!$N$3+
                                                                  VLOOKUP(CONCATENATE('DGNB LCA Results'!$K$3,"_",Q364), $A$2:$P$352,9,FALSE)*'DGNB LCA Results'!$L$3+
                                                                  VLOOKUP(CONCATENATE('DGNB LCA Results'!$I$3,"_",Q364), $A$2:$P$352,9,FALSE)*'DGNB LCA Results'!$J$3+
                                                                  VLOOKUP(CONCATENATE('DGNB LCA Results'!$G$3,"_",Q364), $A$2:$P$352,9,FALSE)*'DGNB LCA Results'!$H$3,
IF('DGNB LCA Results'!$P$4=3,VLOOKUP(CONCATENATE('DGNB LCA Results'!$M$3,"_",Q364), $A$2:$P$352,9,FALSE)*'DGNB LCA Results'!$N$3+
                                                                VLOOKUP(CONCATENATE('DGNB LCA Results'!$K$3,"_",Q364), $A$2:$P$352,9,FALSE)*'DGNB LCA Results'!$L$3+
                                                                VLOOKUP(CONCATENATE('DGNB LCA Results'!$I$3,"_",Q364),$A$2:$P$352,9,FALSE)*'DGNB LCA Results'!$J$3,
IF('DGNB LCA Results'!$P$4=2,VLOOKUP(CONCATENATE('DGNB LCA Results'!$M$3,"_",Q364), $A$2:$P$352,9,FALSE)*'DGNB LCA Results'!$N$3+
                                                                 VLOOKUP(CONCATENATE('DGNB LCA Results'!$K$3,"_",Q364),$A$2:$P$352,9,FALSE)*'DGNB LCA Results'!$L$3,
IF('DGNB LCA Results'!$P$4=1,VLOOKUP(CONCATENATE('DGNB LCA Results'!$M$3,"_",Q364), $A$2:$P$352,9,FALSE)*'DGNB LCA Results'!$N$3,0))))</f>
        <v>0</v>
      </c>
      <c r="J364" s="121">
        <f>IF('DGNB LCA Results'!$P$4=4,VLOOKUP(CONCATENATE('DGNB LCA Results'!$M$3,"_",Q364), $A$2:$P$352,10,FALSE)*'DGNB LCA Results'!$N$3+
                                                                  VLOOKUP(CONCATENATE('DGNB LCA Results'!$K$3,"_",Q364), $A$2:$P$352,10,FALSE)*'DGNB LCA Results'!$L$3+
                                                                  VLOOKUP(CONCATENATE('DGNB LCA Results'!$I$3,"_",Q364), $A$2:$P$352,10,FALSE)*'DGNB LCA Results'!$J$3+
                                                                  VLOOKUP(CONCATENATE('DGNB LCA Results'!$G$3,"_",Q364), $A$2:$P$352,10,FALSE)*'DGNB LCA Results'!$H$3,
IF('DGNB LCA Results'!$P$4=3,VLOOKUP(CONCATENATE('DGNB LCA Results'!$M$3,"_",Q364), $A$2:$P$352,10,FALSE)*'DGNB LCA Results'!$N$3+
                                                                VLOOKUP(CONCATENATE('DGNB LCA Results'!$K$3,"_",Q364), $A$2:$P$352,10,FALSE)*'DGNB LCA Results'!$L$3+
                                                                VLOOKUP(CONCATENATE('DGNB LCA Results'!$I$3,"_",Q364),$A$2:$P$352,10,FALSE)*'DGNB LCA Results'!$J$3,
IF('DGNB LCA Results'!$P$4=2,VLOOKUP(CONCATENATE('DGNB LCA Results'!$M$3,"_",Q364), $A$2:$P$352,10,FALSE)*'DGNB LCA Results'!$N$3+
                                                                 VLOOKUP(CONCATENATE('DGNB LCA Results'!$K$3,"_",Q364),$A$2:$P$352,10,FALSE)*'DGNB LCA Results'!$L$3,
IF('DGNB LCA Results'!$P$4=1,VLOOKUP(CONCATENATE('DGNB LCA Results'!$M$3,"_",Q364), $A$2:$P$352,10,FALSE)*'DGNB LCA Results'!$N$3,0))))</f>
        <v>0</v>
      </c>
      <c r="K364" s="120">
        <f>IF('DGNB LCA Results'!$P$4=4,VLOOKUP(CONCATENATE('DGNB LCA Results'!$M$3,"_",Q364), $A$2:$P$352,11,FALSE)*'DGNB LCA Results'!$N$3+
                                                                  VLOOKUP(CONCATENATE('DGNB LCA Results'!$K$3,"_",Q364), $A$2:$P$352,11,FALSE)*'DGNB LCA Results'!$L$3+
                                                                  VLOOKUP(CONCATENATE('DGNB LCA Results'!$I$3,"_",Q364), $A$2:$P$352,11,FALSE)*'DGNB LCA Results'!$J$3+
                                                                  VLOOKUP(CONCATENATE('DGNB LCA Results'!$G$3,"_",Q364), $A$2:$P$352,11,FALSE)*'DGNB LCA Results'!$H$3,
IF('DGNB LCA Results'!$P$4=3,VLOOKUP(CONCATENATE('DGNB LCA Results'!$M$3,"_",Q364), $A$2:$P$352,11,FALSE)*'DGNB LCA Results'!$N$3+
                                                                VLOOKUP(CONCATENATE('DGNB LCA Results'!$K$3,"_",Q364), $A$2:$P$352,11,FALSE)*'DGNB LCA Results'!$L$3+
                                                                VLOOKUP(CONCATENATE('DGNB LCA Results'!$I$3,"_",Q364),$A$2:$P$352,11,FALSE)*'DGNB LCA Results'!$J$3,
IF('DGNB LCA Results'!$P$4=2,VLOOKUP(CONCATENATE('DGNB LCA Results'!$M$3,"_",Q364), $A$2:$P$352,11,FALSE)*'DGNB LCA Results'!$N$3+
                                                                 VLOOKUP(CONCATENATE('DGNB LCA Results'!$K$3,"_",Q364),$A$2:$P$352,11,FALSE)*'DGNB LCA Results'!$L$3,
IF('DGNB LCA Results'!$P$4=1,VLOOKUP(CONCATENATE('DGNB LCA Results'!$M$3,"_",Q364), $A$2:$P$352,11,FALSE)*'DGNB LCA Results'!$N$3,0))))</f>
        <v>0</v>
      </c>
      <c r="L364" s="47">
        <f>IF('DGNB LCA Results'!$P$4=4,VLOOKUP(CONCATENATE('DGNB LCA Results'!$M$3,"_",Q364), $A$2:$P$352,12,FALSE)*'DGNB LCA Results'!$N$3+
                                                                  VLOOKUP(CONCATENATE('DGNB LCA Results'!$K$3,"_",Q364), $A$2:$P$352,12,FALSE)*'DGNB LCA Results'!$L$3+
                                                                  VLOOKUP(CONCATENATE('DGNB LCA Results'!$I$3,"_",Q364), $A$2:$P$352,12,FALSE)*'DGNB LCA Results'!$J$3+
                                                                  VLOOKUP(CONCATENATE('DGNB LCA Results'!$G$3,"_",Q364), $A$2:$P$352,12,FALSE)*'DGNB LCA Results'!$H$3,
IF('DGNB LCA Results'!$P$4=3,VLOOKUP(CONCATENATE('DGNB LCA Results'!$M$3,"_",Q364), $A$2:$P$352,12,FALSE)*'DGNB LCA Results'!$N$3+
                                                                VLOOKUP(CONCATENATE('DGNB LCA Results'!$K$3,"_",Q364), $A$2:$P$352,12,FALSE)*'DGNB LCA Results'!$L$3+
                                                                VLOOKUP(CONCATENATE('DGNB LCA Results'!$I$3,"_",Q364),$A$2:$P$352,12,FALSE)*'DGNB LCA Results'!$J$3,
IF('DGNB LCA Results'!$P$4=2,VLOOKUP(CONCATENATE('DGNB LCA Results'!$M$3,"_",Q364), $A$2:$P$352,12,FALSE)*'DGNB LCA Results'!$N$3+
                                                                 VLOOKUP(CONCATENATE('DGNB LCA Results'!$K$3,"_",Q364),$A$2:$P$352,12,FALSE)*'DGNB LCA Results'!$L$3,
IF('DGNB LCA Results'!$P$4=1,VLOOKUP(CONCATENATE('DGNB LCA Results'!$M$3,"_",Q364), $A$2:$P$352,12,FALSE)*'DGNB LCA Results'!$N$3,0))))</f>
        <v>0</v>
      </c>
      <c r="M364" s="121">
        <f>IF('DGNB LCA Results'!$P$4=4,VLOOKUP(CONCATENATE('DGNB LCA Results'!$M$3,"_",Q364), $A$2:$P$352,13,FALSE)*'DGNB LCA Results'!$N$3+
                                                                  VLOOKUP(CONCATENATE('DGNB LCA Results'!$K$3,"_",Q364), $A$2:$P$352,13,FALSE)*'DGNB LCA Results'!$L$3+
                                                                  VLOOKUP(CONCATENATE('DGNB LCA Results'!$I$3,"_",Q364), $A$2:$P$352,13,FALSE)*'DGNB LCA Results'!$J$3+
                                                                  VLOOKUP(CONCATENATE('DGNB LCA Results'!$G$3,"_",Q364), $A$2:$P$352,13,FALSE)*'DGNB LCA Results'!$H$3,
IF('DGNB LCA Results'!$P$4=3,VLOOKUP(CONCATENATE('DGNB LCA Results'!$M$3,"_",Q364), $A$2:$P$352,13,FALSE)*'DGNB LCA Results'!$N$3+
                                                                VLOOKUP(CONCATENATE('DGNB LCA Results'!$K$3,"_",Q364), $A$2:$P$352,13,FALSE)*'DGNB LCA Results'!$L$3+
                                                                VLOOKUP(CONCATENATE('DGNB LCA Results'!$I$3,"_",Q364),$A$2:$P$352,13,FALSE)*'DGNB LCA Results'!$J$3,
IF('DGNB LCA Results'!$P$4=2,VLOOKUP(CONCATENATE('DGNB LCA Results'!$M$3,"_",Q364), $A$2:$P$352,13,FALSE)*'DGNB LCA Results'!$N$3+
                                                                 VLOOKUP(CONCATENATE('DGNB LCA Results'!$K$3,"_",Q364),$A$2:$P$352,13,FALSE)*'DGNB LCA Results'!$L$3,
IF('DGNB LCA Results'!$P$4=1,VLOOKUP(CONCATENATE('DGNB LCA Results'!$M$3,"_",Q364), $A$2:$P$352,13,FALSE)*'DGNB LCA Results'!$N$3,0))))</f>
        <v>0</v>
      </c>
      <c r="N364" s="120">
        <f>IF('DGNB LCA Results'!$P$4=4,VLOOKUP(CONCATENATE('DGNB LCA Results'!$M$3,"_",Q364), $A$2:$P$352,14,FALSE)*'DGNB LCA Results'!$N$3+
                                                                  VLOOKUP(CONCATENATE('DGNB LCA Results'!$K$3,"_",Q364), $A$2:$P$352,14,FALSE)*'DGNB LCA Results'!$L$3+
                                                                  VLOOKUP(CONCATENATE('DGNB LCA Results'!$I$3,"_",Q364), $A$2:$P$352,14,FALSE)*'DGNB LCA Results'!$J$3+
                                                                  VLOOKUP(CONCATENATE('DGNB LCA Results'!$G$3,"_",Q364), $A$2:$P$352,14,FALSE)*'DGNB LCA Results'!$H$3,
IF('DGNB LCA Results'!$P$4=3,VLOOKUP(CONCATENATE('DGNB LCA Results'!$M$3,"_",Q364), $A$2:$P$352,14,FALSE)*'DGNB LCA Results'!$N$3+
                                                                VLOOKUP(CONCATENATE('DGNB LCA Results'!$K$3,"_",Q364), $A$2:$P$352,14,FALSE)*'DGNB LCA Results'!$L$3+
                                                                VLOOKUP(CONCATENATE('DGNB LCA Results'!$I$3,"_",Q364),$A$2:$P$352,14,FALSE)*'DGNB LCA Results'!$J$3,
IF('DGNB LCA Results'!$P$4=2,VLOOKUP(CONCATENATE('DGNB LCA Results'!$M$3,"_",Q364), $A$2:$P$352,14,FALSE)*'DGNB LCA Results'!$N$3+
                                                                 VLOOKUP(CONCATENATE('DGNB LCA Results'!$K$3,"_",Q364),$A$2:$P$352,14,FALSE)*'DGNB LCA Results'!$L$3,
IF('DGNB LCA Results'!$P$4=1,VLOOKUP(CONCATENATE('DGNB LCA Results'!$M$3,"_",Q364), $A$2:$P$352,14,FALSE)*'DGNB LCA Results'!$N$3,0))))</f>
        <v>0</v>
      </c>
      <c r="O364" s="47">
        <f>IF('DGNB LCA Results'!$P$4=4,VLOOKUP(CONCATENATE('DGNB LCA Results'!$M$3,"_",Q364), $A$2:$P$352,15,FALSE)*'DGNB LCA Results'!$N$3+
                                                                  VLOOKUP(CONCATENATE('DGNB LCA Results'!$K$3,"_",Q364), $A$2:$P$352,15,FALSE)*'DGNB LCA Results'!$L$3+
                                                                  VLOOKUP(CONCATENATE('DGNB LCA Results'!$I$3,"_",Q364), $A$2:$P$352,15,FALSE)*'DGNB LCA Results'!$J$3+
                                                                  VLOOKUP(CONCATENATE('DGNB LCA Results'!$G$3,"_",Q364), $A$2:$P$352,15,FALSE)*'DGNB LCA Results'!$H$3,
IF('DGNB LCA Results'!$P$4=3,VLOOKUP(CONCATENATE('DGNB LCA Results'!$M$3,"_",Q364), $A$2:$P$352,15,FALSE)*'DGNB LCA Results'!$N$3+
                                                                VLOOKUP(CONCATENATE('DGNB LCA Results'!$K$3,"_",Q364), $A$2:$P$352,15,FALSE)*'DGNB LCA Results'!$L$3+
                                                                VLOOKUP(CONCATENATE('DGNB LCA Results'!$I$3,"_",Q364),$A$2:$P$352,15,FALSE)*'DGNB LCA Results'!$J$3,
IF('DGNB LCA Results'!$P$4=2,VLOOKUP(CONCATENATE('DGNB LCA Results'!$M$3,"_",Q364), $A$2:$P$352,15,FALSE)*'DGNB LCA Results'!$N$3+
                                                                 VLOOKUP(CONCATENATE('DGNB LCA Results'!$K$3,"_",Q364),$A$2:$P$352,15,FALSE)*'DGNB LCA Results'!$L$3,
IF('DGNB LCA Results'!$P$4=1,VLOOKUP(CONCATENATE('DGNB LCA Results'!$M$3,"_",Q364), $A$2:$P$352,15,FALSE)*'DGNB LCA Results'!$N$3,0))))</f>
        <v>0</v>
      </c>
      <c r="P364" s="121">
        <f>IF('DGNB LCA Results'!$P$4=4,VLOOKUP(CONCATENATE('DGNB LCA Results'!$M$3,"_",Q364), $A$2:$P$352,16,FALSE)*'DGNB LCA Results'!$N$3+
                                                                  VLOOKUP(CONCATENATE('DGNB LCA Results'!$K$3,"_",Q364), $A$2:$P$352,16,FALSE)*'DGNB LCA Results'!$L$3+
                                                                  VLOOKUP(CONCATENATE('DGNB LCA Results'!$I$3,"_",Q364), $A$2:$P$352,16,FALSE)*'DGNB LCA Results'!$J$3+
                                                                  VLOOKUP(CONCATENATE('DGNB LCA Results'!$G$3,"_",Q364), $A$2:$P$352,16,FALSE)*'DGNB LCA Results'!$H$3,
IF('DGNB LCA Results'!$P$4=3,VLOOKUP(CONCATENATE('DGNB LCA Results'!$M$3,"_",Q364), $A$2:$P$352,16,FALSE)*'DGNB LCA Results'!$N$3+
                                                                VLOOKUP(CONCATENATE('DGNB LCA Results'!$K$3,"_",Q364), $A$2:$P$352,16,FALSE)*'DGNB LCA Results'!$L$3+
                                                                VLOOKUP(CONCATENATE('DGNB LCA Results'!$I$3,"_",Q364),$A$2:$P$352,16,FALSE)*'DGNB LCA Results'!$J$3,
IF('DGNB LCA Results'!$P$4=2,VLOOKUP(CONCATENATE('DGNB LCA Results'!$M$3,"_",Q364), $A$2:$P$352,16,FALSE)*'DGNB LCA Results'!$N$3+
                                                                 VLOOKUP(CONCATENATE('DGNB LCA Results'!$K$3,"_",Q364),$A$2:$P$352,16,FALSE)*'DGNB LCA Results'!$L$3,
IF('DGNB LCA Results'!$P$4=1,VLOOKUP(CONCATENATE('DGNB LCA Results'!$M$3,"_",Q364), $A$2:$P$352,16,FALSE)*'DGNB LCA Results'!$N$3,0))))</f>
        <v>0</v>
      </c>
      <c r="Q364">
        <v>0</v>
      </c>
      <c r="R364" t="s">
        <v>193</v>
      </c>
    </row>
    <row r="365" spans="1:18" x14ac:dyDescent="0.2">
      <c r="A365" t="str">
        <f t="shared" si="7"/>
        <v>MIX12_10</v>
      </c>
      <c r="B365" s="120">
        <f>IF('DGNB LCA Results'!$P$4=4,VLOOKUP(CONCATENATE('DGNB LCA Results'!$M$3,"_",Q365), $A$2:$P$352,2,FALSE)*'DGNB LCA Results'!$N$3+
                                                                  VLOOKUP(CONCATENATE('DGNB LCA Results'!$K$3,"_",Q365), $A$2:$P$352,2,FALSE)*'DGNB LCA Results'!$L$3+
                                                                  VLOOKUP(CONCATENATE('DGNB LCA Results'!$I$3,"_",Q365), $A$2:$P$352,2,FALSE)*'DGNB LCA Results'!$J$3+
                                                                  VLOOKUP(CONCATENATE('DGNB LCA Results'!$G$3,"_",Q365), $A$2:$P$352,2,FALSE)*'DGNB LCA Results'!$H$3,
IF('DGNB LCA Results'!$P$4=3,VLOOKUP(CONCATENATE('DGNB LCA Results'!$M$3,"_",Q365), $A$2:$P$352,2,FALSE)*'DGNB LCA Results'!$N$3+
                                                                VLOOKUP(CONCATENATE('DGNB LCA Results'!$K$3,"_",Q365), $A$2:$P$352,2,FALSE)*'DGNB LCA Results'!$L$3+
                                                                VLOOKUP(CONCATENATE('DGNB LCA Results'!$I$3,"_",Q365),$A$2:$P$352,2,FALSE)*'DGNB LCA Results'!$J$3,
IF('DGNB LCA Results'!$P$4=2,VLOOKUP(CONCATENATE('DGNB LCA Results'!$M$3,"_",Q365), $A$2:$P$352,2,FALSE)*'DGNB LCA Results'!$N$3+
                                                                 VLOOKUP(CONCATENATE('DGNB LCA Results'!$K$3,"_",Q365),$A$2:$P$352,2,FALSE)*'DGNB LCA Results'!$L$3,
IF('DGNB LCA Results'!$P$4=1,VLOOKUP(CONCATENATE('DGNB LCA Results'!$M$3,"_",Q365), $A$2:$P$352,2,FALSE)*'DGNB LCA Results'!$N$3,0))))</f>
        <v>0</v>
      </c>
      <c r="C365" s="49">
        <f>IF('DGNB LCA Results'!$P$4=4,VLOOKUP(CONCATENATE('DGNB LCA Results'!$M$3,"_",Q365), $A$2:$P$352,3,FALSE)*'DGNB LCA Results'!$N$3+
                                                                  VLOOKUP(CONCATENATE('DGNB LCA Results'!$K$3,"_",Q365), $A$2:$P$352,3,FALSE)*'DGNB LCA Results'!$L$3+
                                                                  VLOOKUP(CONCATENATE('DGNB LCA Results'!$I$3,"_",Q365), $A$2:$P$352,3,FALSE)*'DGNB LCA Results'!$J$3+
                                                                  VLOOKUP(CONCATENATE('DGNB LCA Results'!$G$3,"_",Q365), $A$2:$P$352,3,FALSE)*'DGNB LCA Results'!$H$3,
IF('DGNB LCA Results'!$P$4=3,VLOOKUP(CONCATENATE('DGNB LCA Results'!$M$3,"_",Q365), $A$2:$P$352,3,FALSE)*'DGNB LCA Results'!$N$3+
                                                                VLOOKUP(CONCATENATE('DGNB LCA Results'!$K$3,"_",Q365), $A$2:$P$352,3,FALSE)*'DGNB LCA Results'!$L$3+
                                                                VLOOKUP(CONCATENATE('DGNB LCA Results'!$I$3,"_",Q365),$A$2:$P$352,3,FALSE)*'DGNB LCA Results'!$J$3,
IF('DGNB LCA Results'!$P$4=2,VLOOKUP(CONCATENATE('DGNB LCA Results'!$M$3,"_",Q365), $A$2:$P$352,3,FALSE)*'DGNB LCA Results'!$N$3+
                                                                 VLOOKUP(CONCATENATE('DGNB LCA Results'!$K$3,"_",Q365),$A$2:$P$352,3,FALSE)*'DGNB LCA Results'!$L$3,
IF('DGNB LCA Results'!$P$4=1,VLOOKUP(CONCATENATE('DGNB LCA Results'!$M$3,"_",Q365), $A$2:$P$352,3,FALSE)*'DGNB LCA Results'!$N$3,0))))</f>
        <v>0</v>
      </c>
      <c r="D365" s="49">
        <f>IF('DGNB LCA Results'!$P$4=4,VLOOKUP(CONCATENATE('DGNB LCA Results'!$M$3,"_",Q365), $A$2:$P$352,4,FALSE)*'DGNB LCA Results'!$N$3+
                                                                  VLOOKUP(CONCATENATE('DGNB LCA Results'!$K$3,"_",Q365), $A$2:$P$352,4,FALSE)*'DGNB LCA Results'!$L$3+
                                                                  VLOOKUP(CONCATENATE('DGNB LCA Results'!$I$3,"_",Q365), $A$2:$P$352,4,FALSE)*'DGNB LCA Results'!$J$3+
                                                                  VLOOKUP(CONCATENATE('DGNB LCA Results'!$G$3,"_",Q365), $A$2:$P$352,4,FALSE)*'DGNB LCA Results'!$H$3,
IF('DGNB LCA Results'!$P$4=3,VLOOKUP(CONCATENATE('DGNB LCA Results'!$M$3,"_",Q365), $A$2:$P$352,4,FALSE)*'DGNB LCA Results'!$N$3+
                                                                VLOOKUP(CONCATENATE('DGNB LCA Results'!$K$3,"_",Q365), $A$2:$P$352,4,FALSE)*'DGNB LCA Results'!$L$3+
                                                                VLOOKUP(CONCATENATE('DGNB LCA Results'!$I$3,"_",Q365),$A$2:$P$352,4,FALSE)*'DGNB LCA Results'!$J$3,
IF('DGNB LCA Results'!$P$4=2,VLOOKUP(CONCATENATE('DGNB LCA Results'!$M$3,"_",Q365), $A$2:$P$352,4,FALSE)*'DGNB LCA Results'!$N$3+
                                                                 VLOOKUP(CONCATENATE('DGNB LCA Results'!$K$3,"_",Q365),$A$2:$P$352,4,FALSE)*'DGNB LCA Results'!$L$3,
IF('DGNB LCA Results'!$P$4=1,VLOOKUP(CONCATENATE('DGNB LCA Results'!$M$3,"_",Q365), $A$2:$P$352,4,FALSE)*'DGNB LCA Results'!$N$3,0))))</f>
        <v>0</v>
      </c>
      <c r="E365" s="120">
        <f>IF('DGNB LCA Results'!$P$4=4,VLOOKUP(CONCATENATE('DGNB LCA Results'!$M$3,"_",Q365), $A$2:$P$352,5,FALSE)*'DGNB LCA Results'!$N$3+
                                                                  VLOOKUP(CONCATENATE('DGNB LCA Results'!$K$3,"_",Q365), $A$2:$P$352,5,FALSE)*'DGNB LCA Results'!$L$3+
                                                                  VLOOKUP(CONCATENATE('DGNB LCA Results'!$I$3,"_",Q365), $A$2:$P$352,5,FALSE)*'DGNB LCA Results'!$J$3+
                                                                  VLOOKUP(CONCATENATE('DGNB LCA Results'!$G$3,"_",Q365), $A$2:$P$352,5,FALSE)*'DGNB LCA Results'!$H$3,
IF('DGNB LCA Results'!$P$4=3,VLOOKUP(CONCATENATE('DGNB LCA Results'!$M$3,"_",Q365), $A$2:$P$352,5,FALSE)*'DGNB LCA Results'!$N$3+
                                                                VLOOKUP(CONCATENATE('DGNB LCA Results'!$K$3,"_",Q365), $A$2:$P$352,5,FALSE)*'DGNB LCA Results'!$L$3+
                                                                VLOOKUP(CONCATENATE('DGNB LCA Results'!$I$3,"_",Q365),$A$2:$P$352,5,FALSE)*'DGNB LCA Results'!$J$3,
IF('DGNB LCA Results'!$P$4=2,VLOOKUP(CONCATENATE('DGNB LCA Results'!$M$3,"_",Q365), $A$2:$P$352,5,FALSE)*'DGNB LCA Results'!$N$3+
                                                                 VLOOKUP(CONCATENATE('DGNB LCA Results'!$K$3,"_",Q365),$A$2:$P$352,5,FALSE)*'DGNB LCA Results'!$L$3,
IF('DGNB LCA Results'!$P$4=1,VLOOKUP(CONCATENATE('DGNB LCA Results'!$M$3,"_",Q365), $A$2:$P$352,5,FALSE)*'DGNB LCA Results'!$N$3,0))))</f>
        <v>0</v>
      </c>
      <c r="F365" s="47">
        <f>IF('DGNB LCA Results'!$P$4=4,VLOOKUP(CONCATENATE('DGNB LCA Results'!$M$3,"_",Q365), $A$2:$P$352,6,FALSE)*'DGNB LCA Results'!$N$3+
                                                                  VLOOKUP(CONCATENATE('DGNB LCA Results'!$K$3,"_",Q365), $A$2:$P$352,6,FALSE)*'DGNB LCA Results'!$L$3+
                                                                  VLOOKUP(CONCATENATE('DGNB LCA Results'!$I$3,"_",Q365), $A$2:$P$352,6,FALSE)*'DGNB LCA Results'!$J$3+
                                                                  VLOOKUP(CONCATENATE('DGNB LCA Results'!$G$3,"_",Q365), $A$2:$P$352,6,FALSE)*'DGNB LCA Results'!$H$3,
IF('DGNB LCA Results'!$P$4=3,VLOOKUP(CONCATENATE('DGNB LCA Results'!$M$3,"_",Q365), $A$2:$P$352,6,FALSE)*'DGNB LCA Results'!$N$3+
                                                                VLOOKUP(CONCATENATE('DGNB LCA Results'!$K$3,"_",Q365), $A$2:$P$352,6,FALSE)*'DGNB LCA Results'!$L$3+
                                                                VLOOKUP(CONCATENATE('DGNB LCA Results'!$I$3,"_",Q365),$A$2:$P$352,6,FALSE)*'DGNB LCA Results'!$J$3,
IF('DGNB LCA Results'!$P$4=2,VLOOKUP(CONCATENATE('DGNB LCA Results'!$M$3,"_",Q365), $A$2:$P$352,6,FALSE)*'DGNB LCA Results'!$N$3+
                                                                 VLOOKUP(CONCATENATE('DGNB LCA Results'!$K$3,"_",Q365),$A$2:$P$352,6,FALSE)*'DGNB LCA Results'!$L$3,
IF('DGNB LCA Results'!$P$4=1,VLOOKUP(CONCATENATE('DGNB LCA Results'!$M$3,"_",Q365), $A$2:$P$352,6,FALSE)*'DGNB LCA Results'!$N$3,0))))</f>
        <v>0</v>
      </c>
      <c r="G365" s="121">
        <f>IF('DGNB LCA Results'!$P$4=4,VLOOKUP(CONCATENATE('DGNB LCA Results'!$M$3,"_",Q365), $A$2:$P$352,7,FALSE)*'DGNB LCA Results'!$N$3+
                                                                  VLOOKUP(CONCATENATE('DGNB LCA Results'!$K$3,"_",Q365), $A$2:$P$352,7,FALSE)*'DGNB LCA Results'!$L$3+
                                                                  VLOOKUP(CONCATENATE('DGNB LCA Results'!$I$3,"_",Q365), $A$2:$P$352,7,FALSE)*'DGNB LCA Results'!$J$3+
                                                                  VLOOKUP(CONCATENATE('DGNB LCA Results'!$G$3,"_",Q365), $A$2:$P$352,7,FALSE)*'DGNB LCA Results'!$H$3,
IF('DGNB LCA Results'!$P$4=3,VLOOKUP(CONCATENATE('DGNB LCA Results'!$M$3,"_",Q365), $A$2:$P$352,7,FALSE)*'DGNB LCA Results'!$N$3+
                                                                VLOOKUP(CONCATENATE('DGNB LCA Results'!$K$3,"_",Q365), $A$2:$P$352,7,FALSE)*'DGNB LCA Results'!$L$3+
                                                                VLOOKUP(CONCATENATE('DGNB LCA Results'!$I$3,"_",Q365),$A$2:$P$352,7,FALSE)*'DGNB LCA Results'!$J$3,
IF('DGNB LCA Results'!$P$4=2,VLOOKUP(CONCATENATE('DGNB LCA Results'!$M$3,"_",Q365), $A$2:$P$352,7,FALSE)*'DGNB LCA Results'!$N$3+
                                                                 VLOOKUP(CONCATENATE('DGNB LCA Results'!$K$3,"_",Q365),$A$2:$P$352,7,FALSE)*'DGNB LCA Results'!$L$3,
IF('DGNB LCA Results'!$P$4=1,VLOOKUP(CONCATENATE('DGNB LCA Results'!$M$3,"_",Q365), $A$2:$P$352,7,FALSE)*'DGNB LCA Results'!$N$3,0))))</f>
        <v>0</v>
      </c>
      <c r="H365" s="120">
        <f>IF('DGNB LCA Results'!$P$4=4,VLOOKUP(CONCATENATE('DGNB LCA Results'!$M$3,"_",Q365), $A$2:$P$352,8,FALSE)*'DGNB LCA Results'!$N$3+
                                                                  VLOOKUP(CONCATENATE('DGNB LCA Results'!$K$3,"_",Q365), $A$2:$P$352,8,FALSE)*'DGNB LCA Results'!$L$3+
                                                                  VLOOKUP(CONCATENATE('DGNB LCA Results'!$I$3,"_",Q365), $A$2:$P$352,8,FALSE)*'DGNB LCA Results'!$J$3+
                                                                  VLOOKUP(CONCATENATE('DGNB LCA Results'!$G$3,"_",Q365), $A$2:$P$352,8,FALSE)*'DGNB LCA Results'!$H$3,
IF('DGNB LCA Results'!$P$4=3,VLOOKUP(CONCATENATE('DGNB LCA Results'!$M$3,"_",Q365), $A$2:$P$352,8,FALSE)*'DGNB LCA Results'!$N$3+
                                                                VLOOKUP(CONCATENATE('DGNB LCA Results'!$K$3,"_",Q365), $A$2:$P$352,8,FALSE)*'DGNB LCA Results'!$L$3+
                                                                VLOOKUP(CONCATENATE('DGNB LCA Results'!$I$3,"_",Q365),$A$2:$P$352,8,FALSE)*'DGNB LCA Results'!$J$3,
IF('DGNB LCA Results'!$P$4=2,VLOOKUP(CONCATENATE('DGNB LCA Results'!$M$3,"_",Q365), $A$2:$P$352,8,FALSE)*'DGNB LCA Results'!$N$3+
                                                                 VLOOKUP(CONCATENATE('DGNB LCA Results'!$K$3,"_",Q365),$A$2:$P$352,8,FALSE)*'DGNB LCA Results'!$L$3,
IF('DGNB LCA Results'!$P$4=1,VLOOKUP(CONCATENATE('DGNB LCA Results'!$M$3,"_",Q365), $A$2:$P$352,8,FALSE)*'DGNB LCA Results'!$N$3,0))))</f>
        <v>0</v>
      </c>
      <c r="I365" s="47">
        <f>IF('DGNB LCA Results'!$P$4=4,VLOOKUP(CONCATENATE('DGNB LCA Results'!$M$3,"_",Q365), $A$2:$P$352,9,FALSE)*'DGNB LCA Results'!$N$3+
                                                                  VLOOKUP(CONCATENATE('DGNB LCA Results'!$K$3,"_",Q365), $A$2:$P$352,9,FALSE)*'DGNB LCA Results'!$L$3+
                                                                  VLOOKUP(CONCATENATE('DGNB LCA Results'!$I$3,"_",Q365), $A$2:$P$352,9,FALSE)*'DGNB LCA Results'!$J$3+
                                                                  VLOOKUP(CONCATENATE('DGNB LCA Results'!$G$3,"_",Q365), $A$2:$P$352,9,FALSE)*'DGNB LCA Results'!$H$3,
IF('DGNB LCA Results'!$P$4=3,VLOOKUP(CONCATENATE('DGNB LCA Results'!$M$3,"_",Q365), $A$2:$P$352,9,FALSE)*'DGNB LCA Results'!$N$3+
                                                                VLOOKUP(CONCATENATE('DGNB LCA Results'!$K$3,"_",Q365), $A$2:$P$352,9,FALSE)*'DGNB LCA Results'!$L$3+
                                                                VLOOKUP(CONCATENATE('DGNB LCA Results'!$I$3,"_",Q365),$A$2:$P$352,9,FALSE)*'DGNB LCA Results'!$J$3,
IF('DGNB LCA Results'!$P$4=2,VLOOKUP(CONCATENATE('DGNB LCA Results'!$M$3,"_",Q365), $A$2:$P$352,9,FALSE)*'DGNB LCA Results'!$N$3+
                                                                 VLOOKUP(CONCATENATE('DGNB LCA Results'!$K$3,"_",Q365),$A$2:$P$352,9,FALSE)*'DGNB LCA Results'!$L$3,
IF('DGNB LCA Results'!$P$4=1,VLOOKUP(CONCATENATE('DGNB LCA Results'!$M$3,"_",Q365), $A$2:$P$352,9,FALSE)*'DGNB LCA Results'!$N$3,0))))</f>
        <v>0</v>
      </c>
      <c r="J365" s="121">
        <f>IF('DGNB LCA Results'!$P$4=4,VLOOKUP(CONCATENATE('DGNB LCA Results'!$M$3,"_",Q365), $A$2:$P$352,10,FALSE)*'DGNB LCA Results'!$N$3+
                                                                  VLOOKUP(CONCATENATE('DGNB LCA Results'!$K$3,"_",Q365), $A$2:$P$352,10,FALSE)*'DGNB LCA Results'!$L$3+
                                                                  VLOOKUP(CONCATENATE('DGNB LCA Results'!$I$3,"_",Q365), $A$2:$P$352,10,FALSE)*'DGNB LCA Results'!$J$3+
                                                                  VLOOKUP(CONCATENATE('DGNB LCA Results'!$G$3,"_",Q365), $A$2:$P$352,10,FALSE)*'DGNB LCA Results'!$H$3,
IF('DGNB LCA Results'!$P$4=3,VLOOKUP(CONCATENATE('DGNB LCA Results'!$M$3,"_",Q365), $A$2:$P$352,10,FALSE)*'DGNB LCA Results'!$N$3+
                                                                VLOOKUP(CONCATENATE('DGNB LCA Results'!$K$3,"_",Q365), $A$2:$P$352,10,FALSE)*'DGNB LCA Results'!$L$3+
                                                                VLOOKUP(CONCATENATE('DGNB LCA Results'!$I$3,"_",Q365),$A$2:$P$352,10,FALSE)*'DGNB LCA Results'!$J$3,
IF('DGNB LCA Results'!$P$4=2,VLOOKUP(CONCATENATE('DGNB LCA Results'!$M$3,"_",Q365), $A$2:$P$352,10,FALSE)*'DGNB LCA Results'!$N$3+
                                                                 VLOOKUP(CONCATENATE('DGNB LCA Results'!$K$3,"_",Q365),$A$2:$P$352,10,FALSE)*'DGNB LCA Results'!$L$3,
IF('DGNB LCA Results'!$P$4=1,VLOOKUP(CONCATENATE('DGNB LCA Results'!$M$3,"_",Q365), $A$2:$P$352,10,FALSE)*'DGNB LCA Results'!$N$3,0))))</f>
        <v>0</v>
      </c>
      <c r="K365" s="120">
        <f>IF('DGNB LCA Results'!$P$4=4,VLOOKUP(CONCATENATE('DGNB LCA Results'!$M$3,"_",Q365), $A$2:$P$352,11,FALSE)*'DGNB LCA Results'!$N$3+
                                                                  VLOOKUP(CONCATENATE('DGNB LCA Results'!$K$3,"_",Q365), $A$2:$P$352,11,FALSE)*'DGNB LCA Results'!$L$3+
                                                                  VLOOKUP(CONCATENATE('DGNB LCA Results'!$I$3,"_",Q365), $A$2:$P$352,11,FALSE)*'DGNB LCA Results'!$J$3+
                                                                  VLOOKUP(CONCATENATE('DGNB LCA Results'!$G$3,"_",Q365), $A$2:$P$352,11,FALSE)*'DGNB LCA Results'!$H$3,
IF('DGNB LCA Results'!$P$4=3,VLOOKUP(CONCATENATE('DGNB LCA Results'!$M$3,"_",Q365), $A$2:$P$352,11,FALSE)*'DGNB LCA Results'!$N$3+
                                                                VLOOKUP(CONCATENATE('DGNB LCA Results'!$K$3,"_",Q365), $A$2:$P$352,11,FALSE)*'DGNB LCA Results'!$L$3+
                                                                VLOOKUP(CONCATENATE('DGNB LCA Results'!$I$3,"_",Q365),$A$2:$P$352,11,FALSE)*'DGNB LCA Results'!$J$3,
IF('DGNB LCA Results'!$P$4=2,VLOOKUP(CONCATENATE('DGNB LCA Results'!$M$3,"_",Q365), $A$2:$P$352,11,FALSE)*'DGNB LCA Results'!$N$3+
                                                                 VLOOKUP(CONCATENATE('DGNB LCA Results'!$K$3,"_",Q365),$A$2:$P$352,11,FALSE)*'DGNB LCA Results'!$L$3,
IF('DGNB LCA Results'!$P$4=1,VLOOKUP(CONCATENATE('DGNB LCA Results'!$M$3,"_",Q365), $A$2:$P$352,11,FALSE)*'DGNB LCA Results'!$N$3,0))))</f>
        <v>0</v>
      </c>
      <c r="L365" s="47">
        <f>IF('DGNB LCA Results'!$P$4=4,VLOOKUP(CONCATENATE('DGNB LCA Results'!$M$3,"_",Q365), $A$2:$P$352,12,FALSE)*'DGNB LCA Results'!$N$3+
                                                                  VLOOKUP(CONCATENATE('DGNB LCA Results'!$K$3,"_",Q365), $A$2:$P$352,12,FALSE)*'DGNB LCA Results'!$L$3+
                                                                  VLOOKUP(CONCATENATE('DGNB LCA Results'!$I$3,"_",Q365), $A$2:$P$352,12,FALSE)*'DGNB LCA Results'!$J$3+
                                                                  VLOOKUP(CONCATENATE('DGNB LCA Results'!$G$3,"_",Q365), $A$2:$P$352,12,FALSE)*'DGNB LCA Results'!$H$3,
IF('DGNB LCA Results'!$P$4=3,VLOOKUP(CONCATENATE('DGNB LCA Results'!$M$3,"_",Q365), $A$2:$P$352,12,FALSE)*'DGNB LCA Results'!$N$3+
                                                                VLOOKUP(CONCATENATE('DGNB LCA Results'!$K$3,"_",Q365), $A$2:$P$352,12,FALSE)*'DGNB LCA Results'!$L$3+
                                                                VLOOKUP(CONCATENATE('DGNB LCA Results'!$I$3,"_",Q365),$A$2:$P$352,12,FALSE)*'DGNB LCA Results'!$J$3,
IF('DGNB LCA Results'!$P$4=2,VLOOKUP(CONCATENATE('DGNB LCA Results'!$M$3,"_",Q365), $A$2:$P$352,12,FALSE)*'DGNB LCA Results'!$N$3+
                                                                 VLOOKUP(CONCATENATE('DGNB LCA Results'!$K$3,"_",Q365),$A$2:$P$352,12,FALSE)*'DGNB LCA Results'!$L$3,
IF('DGNB LCA Results'!$P$4=1,VLOOKUP(CONCATENATE('DGNB LCA Results'!$M$3,"_",Q365), $A$2:$P$352,12,FALSE)*'DGNB LCA Results'!$N$3,0))))</f>
        <v>0</v>
      </c>
      <c r="M365" s="121">
        <f>IF('DGNB LCA Results'!$P$4=4,VLOOKUP(CONCATENATE('DGNB LCA Results'!$M$3,"_",Q365), $A$2:$P$352,13,FALSE)*'DGNB LCA Results'!$N$3+
                                                                  VLOOKUP(CONCATENATE('DGNB LCA Results'!$K$3,"_",Q365), $A$2:$P$352,13,FALSE)*'DGNB LCA Results'!$L$3+
                                                                  VLOOKUP(CONCATENATE('DGNB LCA Results'!$I$3,"_",Q365), $A$2:$P$352,13,FALSE)*'DGNB LCA Results'!$J$3+
                                                                  VLOOKUP(CONCATENATE('DGNB LCA Results'!$G$3,"_",Q365), $A$2:$P$352,13,FALSE)*'DGNB LCA Results'!$H$3,
IF('DGNB LCA Results'!$P$4=3,VLOOKUP(CONCATENATE('DGNB LCA Results'!$M$3,"_",Q365), $A$2:$P$352,13,FALSE)*'DGNB LCA Results'!$N$3+
                                                                VLOOKUP(CONCATENATE('DGNB LCA Results'!$K$3,"_",Q365), $A$2:$P$352,13,FALSE)*'DGNB LCA Results'!$L$3+
                                                                VLOOKUP(CONCATENATE('DGNB LCA Results'!$I$3,"_",Q365),$A$2:$P$352,13,FALSE)*'DGNB LCA Results'!$J$3,
IF('DGNB LCA Results'!$P$4=2,VLOOKUP(CONCATENATE('DGNB LCA Results'!$M$3,"_",Q365), $A$2:$P$352,13,FALSE)*'DGNB LCA Results'!$N$3+
                                                                 VLOOKUP(CONCATENATE('DGNB LCA Results'!$K$3,"_",Q365),$A$2:$P$352,13,FALSE)*'DGNB LCA Results'!$L$3,
IF('DGNB LCA Results'!$P$4=1,VLOOKUP(CONCATENATE('DGNB LCA Results'!$M$3,"_",Q365), $A$2:$P$352,13,FALSE)*'DGNB LCA Results'!$N$3,0))))</f>
        <v>0</v>
      </c>
      <c r="N365" s="120">
        <f>IF('DGNB LCA Results'!$P$4=4,VLOOKUP(CONCATENATE('DGNB LCA Results'!$M$3,"_",Q365), $A$2:$P$352,14,FALSE)*'DGNB LCA Results'!$N$3+
                                                                  VLOOKUP(CONCATENATE('DGNB LCA Results'!$K$3,"_",Q365), $A$2:$P$352,14,FALSE)*'DGNB LCA Results'!$L$3+
                                                                  VLOOKUP(CONCATENATE('DGNB LCA Results'!$I$3,"_",Q365), $A$2:$P$352,14,FALSE)*'DGNB LCA Results'!$J$3+
                                                                  VLOOKUP(CONCATENATE('DGNB LCA Results'!$G$3,"_",Q365), $A$2:$P$352,14,FALSE)*'DGNB LCA Results'!$H$3,
IF('DGNB LCA Results'!$P$4=3,VLOOKUP(CONCATENATE('DGNB LCA Results'!$M$3,"_",Q365), $A$2:$P$352,14,FALSE)*'DGNB LCA Results'!$N$3+
                                                                VLOOKUP(CONCATENATE('DGNB LCA Results'!$K$3,"_",Q365), $A$2:$P$352,14,FALSE)*'DGNB LCA Results'!$L$3+
                                                                VLOOKUP(CONCATENATE('DGNB LCA Results'!$I$3,"_",Q365),$A$2:$P$352,14,FALSE)*'DGNB LCA Results'!$J$3,
IF('DGNB LCA Results'!$P$4=2,VLOOKUP(CONCATENATE('DGNB LCA Results'!$M$3,"_",Q365), $A$2:$P$352,14,FALSE)*'DGNB LCA Results'!$N$3+
                                                                 VLOOKUP(CONCATENATE('DGNB LCA Results'!$K$3,"_",Q365),$A$2:$P$352,14,FALSE)*'DGNB LCA Results'!$L$3,
IF('DGNB LCA Results'!$P$4=1,VLOOKUP(CONCATENATE('DGNB LCA Results'!$M$3,"_",Q365), $A$2:$P$352,14,FALSE)*'DGNB LCA Results'!$N$3,0))))</f>
        <v>0</v>
      </c>
      <c r="O365" s="47">
        <f>IF('DGNB LCA Results'!$P$4=4,VLOOKUP(CONCATENATE('DGNB LCA Results'!$M$3,"_",Q365), $A$2:$P$352,15,FALSE)*'DGNB LCA Results'!$N$3+
                                                                  VLOOKUP(CONCATENATE('DGNB LCA Results'!$K$3,"_",Q365), $A$2:$P$352,15,FALSE)*'DGNB LCA Results'!$L$3+
                                                                  VLOOKUP(CONCATENATE('DGNB LCA Results'!$I$3,"_",Q365), $A$2:$P$352,15,FALSE)*'DGNB LCA Results'!$J$3+
                                                                  VLOOKUP(CONCATENATE('DGNB LCA Results'!$G$3,"_",Q365), $A$2:$P$352,15,FALSE)*'DGNB LCA Results'!$H$3,
IF('DGNB LCA Results'!$P$4=3,VLOOKUP(CONCATENATE('DGNB LCA Results'!$M$3,"_",Q365), $A$2:$P$352,15,FALSE)*'DGNB LCA Results'!$N$3+
                                                                VLOOKUP(CONCATENATE('DGNB LCA Results'!$K$3,"_",Q365), $A$2:$P$352,15,FALSE)*'DGNB LCA Results'!$L$3+
                                                                VLOOKUP(CONCATENATE('DGNB LCA Results'!$I$3,"_",Q365),$A$2:$P$352,15,FALSE)*'DGNB LCA Results'!$J$3,
IF('DGNB LCA Results'!$P$4=2,VLOOKUP(CONCATENATE('DGNB LCA Results'!$M$3,"_",Q365), $A$2:$P$352,15,FALSE)*'DGNB LCA Results'!$N$3+
                                                                 VLOOKUP(CONCATENATE('DGNB LCA Results'!$K$3,"_",Q365),$A$2:$P$352,15,FALSE)*'DGNB LCA Results'!$L$3,
IF('DGNB LCA Results'!$P$4=1,VLOOKUP(CONCATENATE('DGNB LCA Results'!$M$3,"_",Q365), $A$2:$P$352,15,FALSE)*'DGNB LCA Results'!$N$3,0))))</f>
        <v>0</v>
      </c>
      <c r="P365" s="121">
        <f>IF('DGNB LCA Results'!$P$4=4,VLOOKUP(CONCATENATE('DGNB LCA Results'!$M$3,"_",Q365), $A$2:$P$352,16,FALSE)*'DGNB LCA Results'!$N$3+
                                                                  VLOOKUP(CONCATENATE('DGNB LCA Results'!$K$3,"_",Q365), $A$2:$P$352,16,FALSE)*'DGNB LCA Results'!$L$3+
                                                                  VLOOKUP(CONCATENATE('DGNB LCA Results'!$I$3,"_",Q365), $A$2:$P$352,16,FALSE)*'DGNB LCA Results'!$J$3+
                                                                  VLOOKUP(CONCATENATE('DGNB LCA Results'!$G$3,"_",Q365), $A$2:$P$352,16,FALSE)*'DGNB LCA Results'!$H$3,
IF('DGNB LCA Results'!$P$4=3,VLOOKUP(CONCATENATE('DGNB LCA Results'!$M$3,"_",Q365), $A$2:$P$352,16,FALSE)*'DGNB LCA Results'!$N$3+
                                                                VLOOKUP(CONCATENATE('DGNB LCA Results'!$K$3,"_",Q365), $A$2:$P$352,16,FALSE)*'DGNB LCA Results'!$L$3+
                                                                VLOOKUP(CONCATENATE('DGNB LCA Results'!$I$3,"_",Q365),$A$2:$P$352,16,FALSE)*'DGNB LCA Results'!$J$3,
IF('DGNB LCA Results'!$P$4=2,VLOOKUP(CONCATENATE('DGNB LCA Results'!$M$3,"_",Q365), $A$2:$P$352,16,FALSE)*'DGNB LCA Results'!$N$3+
                                                                 VLOOKUP(CONCATENATE('DGNB LCA Results'!$K$3,"_",Q365),$A$2:$P$352,16,FALSE)*'DGNB LCA Results'!$L$3,
IF('DGNB LCA Results'!$P$4=1,VLOOKUP(CONCATENATE('DGNB LCA Results'!$M$3,"_",Q365), $A$2:$P$352,16,FALSE)*'DGNB LCA Results'!$N$3,0))))</f>
        <v>0</v>
      </c>
      <c r="Q365">
        <v>10</v>
      </c>
      <c r="R365" t="s">
        <v>193</v>
      </c>
    </row>
    <row r="366" spans="1:18" x14ac:dyDescent="0.2">
      <c r="A366" t="str">
        <f t="shared" si="7"/>
        <v>MIX12_20</v>
      </c>
      <c r="B366" s="120">
        <f>IF('DGNB LCA Results'!$P$4=4,VLOOKUP(CONCATENATE('DGNB LCA Results'!$M$3,"_",Q366), $A$2:$P$352,2,FALSE)*'DGNB LCA Results'!$N$3+
                                                                  VLOOKUP(CONCATENATE('DGNB LCA Results'!$K$3,"_",Q366), $A$2:$P$352,2,FALSE)*'DGNB LCA Results'!$L$3+
                                                                  VLOOKUP(CONCATENATE('DGNB LCA Results'!$I$3,"_",Q366), $A$2:$P$352,2,FALSE)*'DGNB LCA Results'!$J$3+
                                                                  VLOOKUP(CONCATENATE('DGNB LCA Results'!$G$3,"_",Q366), $A$2:$P$352,2,FALSE)*'DGNB LCA Results'!$H$3,
IF('DGNB LCA Results'!$P$4=3,VLOOKUP(CONCATENATE('DGNB LCA Results'!$M$3,"_",Q366), $A$2:$P$352,2,FALSE)*'DGNB LCA Results'!$N$3+
                                                                VLOOKUP(CONCATENATE('DGNB LCA Results'!$K$3,"_",Q366), $A$2:$P$352,2,FALSE)*'DGNB LCA Results'!$L$3+
                                                                VLOOKUP(CONCATENATE('DGNB LCA Results'!$I$3,"_",Q366),$A$2:$P$352,2,FALSE)*'DGNB LCA Results'!$J$3,
IF('DGNB LCA Results'!$P$4=2,VLOOKUP(CONCATENATE('DGNB LCA Results'!$M$3,"_",Q366), $A$2:$P$352,2,FALSE)*'DGNB LCA Results'!$N$3+
                                                                 VLOOKUP(CONCATENATE('DGNB LCA Results'!$K$3,"_",Q366),$A$2:$P$352,2,FALSE)*'DGNB LCA Results'!$L$3,
IF('DGNB LCA Results'!$P$4=1,VLOOKUP(CONCATENATE('DGNB LCA Results'!$M$3,"_",Q366), $A$2:$P$352,2,FALSE)*'DGNB LCA Results'!$N$3,0))))</f>
        <v>0</v>
      </c>
      <c r="C366" s="49">
        <f>IF('DGNB LCA Results'!$P$4=4,VLOOKUP(CONCATENATE('DGNB LCA Results'!$M$3,"_",Q366), $A$2:$P$352,3,FALSE)*'DGNB LCA Results'!$N$3+
                                                                  VLOOKUP(CONCATENATE('DGNB LCA Results'!$K$3,"_",Q366), $A$2:$P$352,3,FALSE)*'DGNB LCA Results'!$L$3+
                                                                  VLOOKUP(CONCATENATE('DGNB LCA Results'!$I$3,"_",Q366), $A$2:$P$352,3,FALSE)*'DGNB LCA Results'!$J$3+
                                                                  VLOOKUP(CONCATENATE('DGNB LCA Results'!$G$3,"_",Q366), $A$2:$P$352,3,FALSE)*'DGNB LCA Results'!$H$3,
IF('DGNB LCA Results'!$P$4=3,VLOOKUP(CONCATENATE('DGNB LCA Results'!$M$3,"_",Q366), $A$2:$P$352,3,FALSE)*'DGNB LCA Results'!$N$3+
                                                                VLOOKUP(CONCATENATE('DGNB LCA Results'!$K$3,"_",Q366), $A$2:$P$352,3,FALSE)*'DGNB LCA Results'!$L$3+
                                                                VLOOKUP(CONCATENATE('DGNB LCA Results'!$I$3,"_",Q366),$A$2:$P$352,3,FALSE)*'DGNB LCA Results'!$J$3,
IF('DGNB LCA Results'!$P$4=2,VLOOKUP(CONCATENATE('DGNB LCA Results'!$M$3,"_",Q366), $A$2:$P$352,3,FALSE)*'DGNB LCA Results'!$N$3+
                                                                 VLOOKUP(CONCATENATE('DGNB LCA Results'!$K$3,"_",Q366),$A$2:$P$352,3,FALSE)*'DGNB LCA Results'!$L$3,
IF('DGNB LCA Results'!$P$4=1,VLOOKUP(CONCATENATE('DGNB LCA Results'!$M$3,"_",Q366), $A$2:$P$352,3,FALSE)*'DGNB LCA Results'!$N$3,0))))</f>
        <v>0</v>
      </c>
      <c r="D366" s="49">
        <f>IF('DGNB LCA Results'!$P$4=4,VLOOKUP(CONCATENATE('DGNB LCA Results'!$M$3,"_",Q366), $A$2:$P$352,4,FALSE)*'DGNB LCA Results'!$N$3+
                                                                  VLOOKUP(CONCATENATE('DGNB LCA Results'!$K$3,"_",Q366), $A$2:$P$352,4,FALSE)*'DGNB LCA Results'!$L$3+
                                                                  VLOOKUP(CONCATENATE('DGNB LCA Results'!$I$3,"_",Q366), $A$2:$P$352,4,FALSE)*'DGNB LCA Results'!$J$3+
                                                                  VLOOKUP(CONCATENATE('DGNB LCA Results'!$G$3,"_",Q366), $A$2:$P$352,4,FALSE)*'DGNB LCA Results'!$H$3,
IF('DGNB LCA Results'!$P$4=3,VLOOKUP(CONCATENATE('DGNB LCA Results'!$M$3,"_",Q366), $A$2:$P$352,4,FALSE)*'DGNB LCA Results'!$N$3+
                                                                VLOOKUP(CONCATENATE('DGNB LCA Results'!$K$3,"_",Q366), $A$2:$P$352,4,FALSE)*'DGNB LCA Results'!$L$3+
                                                                VLOOKUP(CONCATENATE('DGNB LCA Results'!$I$3,"_",Q366),$A$2:$P$352,4,FALSE)*'DGNB LCA Results'!$J$3,
IF('DGNB LCA Results'!$P$4=2,VLOOKUP(CONCATENATE('DGNB LCA Results'!$M$3,"_",Q366), $A$2:$P$352,4,FALSE)*'DGNB LCA Results'!$N$3+
                                                                 VLOOKUP(CONCATENATE('DGNB LCA Results'!$K$3,"_",Q366),$A$2:$P$352,4,FALSE)*'DGNB LCA Results'!$L$3,
IF('DGNB LCA Results'!$P$4=1,VLOOKUP(CONCATENATE('DGNB LCA Results'!$M$3,"_",Q366), $A$2:$P$352,4,FALSE)*'DGNB LCA Results'!$N$3,0))))</f>
        <v>0</v>
      </c>
      <c r="E366" s="120">
        <f>IF('DGNB LCA Results'!$P$4=4,VLOOKUP(CONCATENATE('DGNB LCA Results'!$M$3,"_",Q366), $A$2:$P$352,5,FALSE)*'DGNB LCA Results'!$N$3+
                                                                  VLOOKUP(CONCATENATE('DGNB LCA Results'!$K$3,"_",Q366), $A$2:$P$352,5,FALSE)*'DGNB LCA Results'!$L$3+
                                                                  VLOOKUP(CONCATENATE('DGNB LCA Results'!$I$3,"_",Q366), $A$2:$P$352,5,FALSE)*'DGNB LCA Results'!$J$3+
                                                                  VLOOKUP(CONCATENATE('DGNB LCA Results'!$G$3,"_",Q366), $A$2:$P$352,5,FALSE)*'DGNB LCA Results'!$H$3,
IF('DGNB LCA Results'!$P$4=3,VLOOKUP(CONCATENATE('DGNB LCA Results'!$M$3,"_",Q366), $A$2:$P$352,5,FALSE)*'DGNB LCA Results'!$N$3+
                                                                VLOOKUP(CONCATENATE('DGNB LCA Results'!$K$3,"_",Q366), $A$2:$P$352,5,FALSE)*'DGNB LCA Results'!$L$3+
                                                                VLOOKUP(CONCATENATE('DGNB LCA Results'!$I$3,"_",Q366),$A$2:$P$352,5,FALSE)*'DGNB LCA Results'!$J$3,
IF('DGNB LCA Results'!$P$4=2,VLOOKUP(CONCATENATE('DGNB LCA Results'!$M$3,"_",Q366), $A$2:$P$352,5,FALSE)*'DGNB LCA Results'!$N$3+
                                                                 VLOOKUP(CONCATENATE('DGNB LCA Results'!$K$3,"_",Q366),$A$2:$P$352,5,FALSE)*'DGNB LCA Results'!$L$3,
IF('DGNB LCA Results'!$P$4=1,VLOOKUP(CONCATENATE('DGNB LCA Results'!$M$3,"_",Q366), $A$2:$P$352,5,FALSE)*'DGNB LCA Results'!$N$3,0))))</f>
        <v>0</v>
      </c>
      <c r="F366" s="47">
        <f>IF('DGNB LCA Results'!$P$4=4,VLOOKUP(CONCATENATE('DGNB LCA Results'!$M$3,"_",Q366), $A$2:$P$352,6,FALSE)*'DGNB LCA Results'!$N$3+
                                                                  VLOOKUP(CONCATENATE('DGNB LCA Results'!$K$3,"_",Q366), $A$2:$P$352,6,FALSE)*'DGNB LCA Results'!$L$3+
                                                                  VLOOKUP(CONCATENATE('DGNB LCA Results'!$I$3,"_",Q366), $A$2:$P$352,6,FALSE)*'DGNB LCA Results'!$J$3+
                                                                  VLOOKUP(CONCATENATE('DGNB LCA Results'!$G$3,"_",Q366), $A$2:$P$352,6,FALSE)*'DGNB LCA Results'!$H$3,
IF('DGNB LCA Results'!$P$4=3,VLOOKUP(CONCATENATE('DGNB LCA Results'!$M$3,"_",Q366), $A$2:$P$352,6,FALSE)*'DGNB LCA Results'!$N$3+
                                                                VLOOKUP(CONCATENATE('DGNB LCA Results'!$K$3,"_",Q366), $A$2:$P$352,6,FALSE)*'DGNB LCA Results'!$L$3+
                                                                VLOOKUP(CONCATENATE('DGNB LCA Results'!$I$3,"_",Q366),$A$2:$P$352,6,FALSE)*'DGNB LCA Results'!$J$3,
IF('DGNB LCA Results'!$P$4=2,VLOOKUP(CONCATENATE('DGNB LCA Results'!$M$3,"_",Q366), $A$2:$P$352,6,FALSE)*'DGNB LCA Results'!$N$3+
                                                                 VLOOKUP(CONCATENATE('DGNB LCA Results'!$K$3,"_",Q366),$A$2:$P$352,6,FALSE)*'DGNB LCA Results'!$L$3,
IF('DGNB LCA Results'!$P$4=1,VLOOKUP(CONCATENATE('DGNB LCA Results'!$M$3,"_",Q366), $A$2:$P$352,6,FALSE)*'DGNB LCA Results'!$N$3,0))))</f>
        <v>0</v>
      </c>
      <c r="G366" s="121">
        <f>IF('DGNB LCA Results'!$P$4=4,VLOOKUP(CONCATENATE('DGNB LCA Results'!$M$3,"_",Q366), $A$2:$P$352,7,FALSE)*'DGNB LCA Results'!$N$3+
                                                                  VLOOKUP(CONCATENATE('DGNB LCA Results'!$K$3,"_",Q366), $A$2:$P$352,7,FALSE)*'DGNB LCA Results'!$L$3+
                                                                  VLOOKUP(CONCATENATE('DGNB LCA Results'!$I$3,"_",Q366), $A$2:$P$352,7,FALSE)*'DGNB LCA Results'!$J$3+
                                                                  VLOOKUP(CONCATENATE('DGNB LCA Results'!$G$3,"_",Q366), $A$2:$P$352,7,FALSE)*'DGNB LCA Results'!$H$3,
IF('DGNB LCA Results'!$P$4=3,VLOOKUP(CONCATENATE('DGNB LCA Results'!$M$3,"_",Q366), $A$2:$P$352,7,FALSE)*'DGNB LCA Results'!$N$3+
                                                                VLOOKUP(CONCATENATE('DGNB LCA Results'!$K$3,"_",Q366), $A$2:$P$352,7,FALSE)*'DGNB LCA Results'!$L$3+
                                                                VLOOKUP(CONCATENATE('DGNB LCA Results'!$I$3,"_",Q366),$A$2:$P$352,7,FALSE)*'DGNB LCA Results'!$J$3,
IF('DGNB LCA Results'!$P$4=2,VLOOKUP(CONCATENATE('DGNB LCA Results'!$M$3,"_",Q366), $A$2:$P$352,7,FALSE)*'DGNB LCA Results'!$N$3+
                                                                 VLOOKUP(CONCATENATE('DGNB LCA Results'!$K$3,"_",Q366),$A$2:$P$352,7,FALSE)*'DGNB LCA Results'!$L$3,
IF('DGNB LCA Results'!$P$4=1,VLOOKUP(CONCATENATE('DGNB LCA Results'!$M$3,"_",Q366), $A$2:$P$352,7,FALSE)*'DGNB LCA Results'!$N$3,0))))</f>
        <v>0</v>
      </c>
      <c r="H366" s="120">
        <f>IF('DGNB LCA Results'!$P$4=4,VLOOKUP(CONCATENATE('DGNB LCA Results'!$M$3,"_",Q366), $A$2:$P$352,8,FALSE)*'DGNB LCA Results'!$N$3+
                                                                  VLOOKUP(CONCATENATE('DGNB LCA Results'!$K$3,"_",Q366), $A$2:$P$352,8,FALSE)*'DGNB LCA Results'!$L$3+
                                                                  VLOOKUP(CONCATENATE('DGNB LCA Results'!$I$3,"_",Q366), $A$2:$P$352,8,FALSE)*'DGNB LCA Results'!$J$3+
                                                                  VLOOKUP(CONCATENATE('DGNB LCA Results'!$G$3,"_",Q366), $A$2:$P$352,8,FALSE)*'DGNB LCA Results'!$H$3,
IF('DGNB LCA Results'!$P$4=3,VLOOKUP(CONCATENATE('DGNB LCA Results'!$M$3,"_",Q366), $A$2:$P$352,8,FALSE)*'DGNB LCA Results'!$N$3+
                                                                VLOOKUP(CONCATENATE('DGNB LCA Results'!$K$3,"_",Q366), $A$2:$P$352,8,FALSE)*'DGNB LCA Results'!$L$3+
                                                                VLOOKUP(CONCATENATE('DGNB LCA Results'!$I$3,"_",Q366),$A$2:$P$352,8,FALSE)*'DGNB LCA Results'!$J$3,
IF('DGNB LCA Results'!$P$4=2,VLOOKUP(CONCATENATE('DGNB LCA Results'!$M$3,"_",Q366), $A$2:$P$352,8,FALSE)*'DGNB LCA Results'!$N$3+
                                                                 VLOOKUP(CONCATENATE('DGNB LCA Results'!$K$3,"_",Q366),$A$2:$P$352,8,FALSE)*'DGNB LCA Results'!$L$3,
IF('DGNB LCA Results'!$P$4=1,VLOOKUP(CONCATENATE('DGNB LCA Results'!$M$3,"_",Q366), $A$2:$P$352,8,FALSE)*'DGNB LCA Results'!$N$3,0))))</f>
        <v>0</v>
      </c>
      <c r="I366" s="47">
        <f>IF('DGNB LCA Results'!$P$4=4,VLOOKUP(CONCATENATE('DGNB LCA Results'!$M$3,"_",Q366), $A$2:$P$352,9,FALSE)*'DGNB LCA Results'!$N$3+
                                                                  VLOOKUP(CONCATENATE('DGNB LCA Results'!$K$3,"_",Q366), $A$2:$P$352,9,FALSE)*'DGNB LCA Results'!$L$3+
                                                                  VLOOKUP(CONCATENATE('DGNB LCA Results'!$I$3,"_",Q366), $A$2:$P$352,9,FALSE)*'DGNB LCA Results'!$J$3+
                                                                  VLOOKUP(CONCATENATE('DGNB LCA Results'!$G$3,"_",Q366), $A$2:$P$352,9,FALSE)*'DGNB LCA Results'!$H$3,
IF('DGNB LCA Results'!$P$4=3,VLOOKUP(CONCATENATE('DGNB LCA Results'!$M$3,"_",Q366), $A$2:$P$352,9,FALSE)*'DGNB LCA Results'!$N$3+
                                                                VLOOKUP(CONCATENATE('DGNB LCA Results'!$K$3,"_",Q366), $A$2:$P$352,9,FALSE)*'DGNB LCA Results'!$L$3+
                                                                VLOOKUP(CONCATENATE('DGNB LCA Results'!$I$3,"_",Q366),$A$2:$P$352,9,FALSE)*'DGNB LCA Results'!$J$3,
IF('DGNB LCA Results'!$P$4=2,VLOOKUP(CONCATENATE('DGNB LCA Results'!$M$3,"_",Q366), $A$2:$P$352,9,FALSE)*'DGNB LCA Results'!$N$3+
                                                                 VLOOKUP(CONCATENATE('DGNB LCA Results'!$K$3,"_",Q366),$A$2:$P$352,9,FALSE)*'DGNB LCA Results'!$L$3,
IF('DGNB LCA Results'!$P$4=1,VLOOKUP(CONCATENATE('DGNB LCA Results'!$M$3,"_",Q366), $A$2:$P$352,9,FALSE)*'DGNB LCA Results'!$N$3,0))))</f>
        <v>0</v>
      </c>
      <c r="J366" s="121">
        <f>IF('DGNB LCA Results'!$P$4=4,VLOOKUP(CONCATENATE('DGNB LCA Results'!$M$3,"_",Q366), $A$2:$P$352,10,FALSE)*'DGNB LCA Results'!$N$3+
                                                                  VLOOKUP(CONCATENATE('DGNB LCA Results'!$K$3,"_",Q366), $A$2:$P$352,10,FALSE)*'DGNB LCA Results'!$L$3+
                                                                  VLOOKUP(CONCATENATE('DGNB LCA Results'!$I$3,"_",Q366), $A$2:$P$352,10,FALSE)*'DGNB LCA Results'!$J$3+
                                                                  VLOOKUP(CONCATENATE('DGNB LCA Results'!$G$3,"_",Q366), $A$2:$P$352,10,FALSE)*'DGNB LCA Results'!$H$3,
IF('DGNB LCA Results'!$P$4=3,VLOOKUP(CONCATENATE('DGNB LCA Results'!$M$3,"_",Q366), $A$2:$P$352,10,FALSE)*'DGNB LCA Results'!$N$3+
                                                                VLOOKUP(CONCATENATE('DGNB LCA Results'!$K$3,"_",Q366), $A$2:$P$352,10,FALSE)*'DGNB LCA Results'!$L$3+
                                                                VLOOKUP(CONCATENATE('DGNB LCA Results'!$I$3,"_",Q366),$A$2:$P$352,10,FALSE)*'DGNB LCA Results'!$J$3,
IF('DGNB LCA Results'!$P$4=2,VLOOKUP(CONCATENATE('DGNB LCA Results'!$M$3,"_",Q366), $A$2:$P$352,10,FALSE)*'DGNB LCA Results'!$N$3+
                                                                 VLOOKUP(CONCATENATE('DGNB LCA Results'!$K$3,"_",Q366),$A$2:$P$352,10,FALSE)*'DGNB LCA Results'!$L$3,
IF('DGNB LCA Results'!$P$4=1,VLOOKUP(CONCATENATE('DGNB LCA Results'!$M$3,"_",Q366), $A$2:$P$352,10,FALSE)*'DGNB LCA Results'!$N$3,0))))</f>
        <v>0</v>
      </c>
      <c r="K366" s="120">
        <f>IF('DGNB LCA Results'!$P$4=4,VLOOKUP(CONCATENATE('DGNB LCA Results'!$M$3,"_",Q366), $A$2:$P$352,11,FALSE)*'DGNB LCA Results'!$N$3+
                                                                  VLOOKUP(CONCATENATE('DGNB LCA Results'!$K$3,"_",Q366), $A$2:$P$352,11,FALSE)*'DGNB LCA Results'!$L$3+
                                                                  VLOOKUP(CONCATENATE('DGNB LCA Results'!$I$3,"_",Q366), $A$2:$P$352,11,FALSE)*'DGNB LCA Results'!$J$3+
                                                                  VLOOKUP(CONCATENATE('DGNB LCA Results'!$G$3,"_",Q366), $A$2:$P$352,11,FALSE)*'DGNB LCA Results'!$H$3,
IF('DGNB LCA Results'!$P$4=3,VLOOKUP(CONCATENATE('DGNB LCA Results'!$M$3,"_",Q366), $A$2:$P$352,11,FALSE)*'DGNB LCA Results'!$N$3+
                                                                VLOOKUP(CONCATENATE('DGNB LCA Results'!$K$3,"_",Q366), $A$2:$P$352,11,FALSE)*'DGNB LCA Results'!$L$3+
                                                                VLOOKUP(CONCATENATE('DGNB LCA Results'!$I$3,"_",Q366),$A$2:$P$352,11,FALSE)*'DGNB LCA Results'!$J$3,
IF('DGNB LCA Results'!$P$4=2,VLOOKUP(CONCATENATE('DGNB LCA Results'!$M$3,"_",Q366), $A$2:$P$352,11,FALSE)*'DGNB LCA Results'!$N$3+
                                                                 VLOOKUP(CONCATENATE('DGNB LCA Results'!$K$3,"_",Q366),$A$2:$P$352,11,FALSE)*'DGNB LCA Results'!$L$3,
IF('DGNB LCA Results'!$P$4=1,VLOOKUP(CONCATENATE('DGNB LCA Results'!$M$3,"_",Q366), $A$2:$P$352,11,FALSE)*'DGNB LCA Results'!$N$3,0))))</f>
        <v>0</v>
      </c>
      <c r="L366" s="47">
        <f>IF('DGNB LCA Results'!$P$4=4,VLOOKUP(CONCATENATE('DGNB LCA Results'!$M$3,"_",Q366), $A$2:$P$352,12,FALSE)*'DGNB LCA Results'!$N$3+
                                                                  VLOOKUP(CONCATENATE('DGNB LCA Results'!$K$3,"_",Q366), $A$2:$P$352,12,FALSE)*'DGNB LCA Results'!$L$3+
                                                                  VLOOKUP(CONCATENATE('DGNB LCA Results'!$I$3,"_",Q366), $A$2:$P$352,12,FALSE)*'DGNB LCA Results'!$J$3+
                                                                  VLOOKUP(CONCATENATE('DGNB LCA Results'!$G$3,"_",Q366), $A$2:$P$352,12,FALSE)*'DGNB LCA Results'!$H$3,
IF('DGNB LCA Results'!$P$4=3,VLOOKUP(CONCATENATE('DGNB LCA Results'!$M$3,"_",Q366), $A$2:$P$352,12,FALSE)*'DGNB LCA Results'!$N$3+
                                                                VLOOKUP(CONCATENATE('DGNB LCA Results'!$K$3,"_",Q366), $A$2:$P$352,12,FALSE)*'DGNB LCA Results'!$L$3+
                                                                VLOOKUP(CONCATENATE('DGNB LCA Results'!$I$3,"_",Q366),$A$2:$P$352,12,FALSE)*'DGNB LCA Results'!$J$3,
IF('DGNB LCA Results'!$P$4=2,VLOOKUP(CONCATENATE('DGNB LCA Results'!$M$3,"_",Q366), $A$2:$P$352,12,FALSE)*'DGNB LCA Results'!$N$3+
                                                                 VLOOKUP(CONCATENATE('DGNB LCA Results'!$K$3,"_",Q366),$A$2:$P$352,12,FALSE)*'DGNB LCA Results'!$L$3,
IF('DGNB LCA Results'!$P$4=1,VLOOKUP(CONCATENATE('DGNB LCA Results'!$M$3,"_",Q366), $A$2:$P$352,12,FALSE)*'DGNB LCA Results'!$N$3,0))))</f>
        <v>0</v>
      </c>
      <c r="M366" s="121">
        <f>IF('DGNB LCA Results'!$P$4=4,VLOOKUP(CONCATENATE('DGNB LCA Results'!$M$3,"_",Q366), $A$2:$P$352,13,FALSE)*'DGNB LCA Results'!$N$3+
                                                                  VLOOKUP(CONCATENATE('DGNB LCA Results'!$K$3,"_",Q366), $A$2:$P$352,13,FALSE)*'DGNB LCA Results'!$L$3+
                                                                  VLOOKUP(CONCATENATE('DGNB LCA Results'!$I$3,"_",Q366), $A$2:$P$352,13,FALSE)*'DGNB LCA Results'!$J$3+
                                                                  VLOOKUP(CONCATENATE('DGNB LCA Results'!$G$3,"_",Q366), $A$2:$P$352,13,FALSE)*'DGNB LCA Results'!$H$3,
IF('DGNB LCA Results'!$P$4=3,VLOOKUP(CONCATENATE('DGNB LCA Results'!$M$3,"_",Q366), $A$2:$P$352,13,FALSE)*'DGNB LCA Results'!$N$3+
                                                                VLOOKUP(CONCATENATE('DGNB LCA Results'!$K$3,"_",Q366), $A$2:$P$352,13,FALSE)*'DGNB LCA Results'!$L$3+
                                                                VLOOKUP(CONCATENATE('DGNB LCA Results'!$I$3,"_",Q366),$A$2:$P$352,13,FALSE)*'DGNB LCA Results'!$J$3,
IF('DGNB LCA Results'!$P$4=2,VLOOKUP(CONCATENATE('DGNB LCA Results'!$M$3,"_",Q366), $A$2:$P$352,13,FALSE)*'DGNB LCA Results'!$N$3+
                                                                 VLOOKUP(CONCATENATE('DGNB LCA Results'!$K$3,"_",Q366),$A$2:$P$352,13,FALSE)*'DGNB LCA Results'!$L$3,
IF('DGNB LCA Results'!$P$4=1,VLOOKUP(CONCATENATE('DGNB LCA Results'!$M$3,"_",Q366), $A$2:$P$352,13,FALSE)*'DGNB LCA Results'!$N$3,0))))</f>
        <v>0</v>
      </c>
      <c r="N366" s="120">
        <f>IF('DGNB LCA Results'!$P$4=4,VLOOKUP(CONCATENATE('DGNB LCA Results'!$M$3,"_",Q366), $A$2:$P$352,14,FALSE)*'DGNB LCA Results'!$N$3+
                                                                  VLOOKUP(CONCATENATE('DGNB LCA Results'!$K$3,"_",Q366), $A$2:$P$352,14,FALSE)*'DGNB LCA Results'!$L$3+
                                                                  VLOOKUP(CONCATENATE('DGNB LCA Results'!$I$3,"_",Q366), $A$2:$P$352,14,FALSE)*'DGNB LCA Results'!$J$3+
                                                                  VLOOKUP(CONCATENATE('DGNB LCA Results'!$G$3,"_",Q366), $A$2:$P$352,14,FALSE)*'DGNB LCA Results'!$H$3,
IF('DGNB LCA Results'!$P$4=3,VLOOKUP(CONCATENATE('DGNB LCA Results'!$M$3,"_",Q366), $A$2:$P$352,14,FALSE)*'DGNB LCA Results'!$N$3+
                                                                VLOOKUP(CONCATENATE('DGNB LCA Results'!$K$3,"_",Q366), $A$2:$P$352,14,FALSE)*'DGNB LCA Results'!$L$3+
                                                                VLOOKUP(CONCATENATE('DGNB LCA Results'!$I$3,"_",Q366),$A$2:$P$352,14,FALSE)*'DGNB LCA Results'!$J$3,
IF('DGNB LCA Results'!$P$4=2,VLOOKUP(CONCATENATE('DGNB LCA Results'!$M$3,"_",Q366), $A$2:$P$352,14,FALSE)*'DGNB LCA Results'!$N$3+
                                                                 VLOOKUP(CONCATENATE('DGNB LCA Results'!$K$3,"_",Q366),$A$2:$P$352,14,FALSE)*'DGNB LCA Results'!$L$3,
IF('DGNB LCA Results'!$P$4=1,VLOOKUP(CONCATENATE('DGNB LCA Results'!$M$3,"_",Q366), $A$2:$P$352,14,FALSE)*'DGNB LCA Results'!$N$3,0))))</f>
        <v>0</v>
      </c>
      <c r="O366" s="47">
        <f>IF('DGNB LCA Results'!$P$4=4,VLOOKUP(CONCATENATE('DGNB LCA Results'!$M$3,"_",Q366), $A$2:$P$352,15,FALSE)*'DGNB LCA Results'!$N$3+
                                                                  VLOOKUP(CONCATENATE('DGNB LCA Results'!$K$3,"_",Q366), $A$2:$P$352,15,FALSE)*'DGNB LCA Results'!$L$3+
                                                                  VLOOKUP(CONCATENATE('DGNB LCA Results'!$I$3,"_",Q366), $A$2:$P$352,15,FALSE)*'DGNB LCA Results'!$J$3+
                                                                  VLOOKUP(CONCATENATE('DGNB LCA Results'!$G$3,"_",Q366), $A$2:$P$352,15,FALSE)*'DGNB LCA Results'!$H$3,
IF('DGNB LCA Results'!$P$4=3,VLOOKUP(CONCATENATE('DGNB LCA Results'!$M$3,"_",Q366), $A$2:$P$352,15,FALSE)*'DGNB LCA Results'!$N$3+
                                                                VLOOKUP(CONCATENATE('DGNB LCA Results'!$K$3,"_",Q366), $A$2:$P$352,15,FALSE)*'DGNB LCA Results'!$L$3+
                                                                VLOOKUP(CONCATENATE('DGNB LCA Results'!$I$3,"_",Q366),$A$2:$P$352,15,FALSE)*'DGNB LCA Results'!$J$3,
IF('DGNB LCA Results'!$P$4=2,VLOOKUP(CONCATENATE('DGNB LCA Results'!$M$3,"_",Q366), $A$2:$P$352,15,FALSE)*'DGNB LCA Results'!$N$3+
                                                                 VLOOKUP(CONCATENATE('DGNB LCA Results'!$K$3,"_",Q366),$A$2:$P$352,15,FALSE)*'DGNB LCA Results'!$L$3,
IF('DGNB LCA Results'!$P$4=1,VLOOKUP(CONCATENATE('DGNB LCA Results'!$M$3,"_",Q366), $A$2:$P$352,15,FALSE)*'DGNB LCA Results'!$N$3,0))))</f>
        <v>0</v>
      </c>
      <c r="P366" s="121">
        <f>IF('DGNB LCA Results'!$P$4=4,VLOOKUP(CONCATENATE('DGNB LCA Results'!$M$3,"_",Q366), $A$2:$P$352,16,FALSE)*'DGNB LCA Results'!$N$3+
                                                                  VLOOKUP(CONCATENATE('DGNB LCA Results'!$K$3,"_",Q366), $A$2:$P$352,16,FALSE)*'DGNB LCA Results'!$L$3+
                                                                  VLOOKUP(CONCATENATE('DGNB LCA Results'!$I$3,"_",Q366), $A$2:$P$352,16,FALSE)*'DGNB LCA Results'!$J$3+
                                                                  VLOOKUP(CONCATENATE('DGNB LCA Results'!$G$3,"_",Q366), $A$2:$P$352,16,FALSE)*'DGNB LCA Results'!$H$3,
IF('DGNB LCA Results'!$P$4=3,VLOOKUP(CONCATENATE('DGNB LCA Results'!$M$3,"_",Q366), $A$2:$P$352,16,FALSE)*'DGNB LCA Results'!$N$3+
                                                                VLOOKUP(CONCATENATE('DGNB LCA Results'!$K$3,"_",Q366), $A$2:$P$352,16,FALSE)*'DGNB LCA Results'!$L$3+
                                                                VLOOKUP(CONCATENATE('DGNB LCA Results'!$I$3,"_",Q366),$A$2:$P$352,16,FALSE)*'DGNB LCA Results'!$J$3,
IF('DGNB LCA Results'!$P$4=2,VLOOKUP(CONCATENATE('DGNB LCA Results'!$M$3,"_",Q366), $A$2:$P$352,16,FALSE)*'DGNB LCA Results'!$N$3+
                                                                 VLOOKUP(CONCATENATE('DGNB LCA Results'!$K$3,"_",Q366),$A$2:$P$352,16,FALSE)*'DGNB LCA Results'!$L$3,
IF('DGNB LCA Results'!$P$4=1,VLOOKUP(CONCATENATE('DGNB LCA Results'!$M$3,"_",Q366), $A$2:$P$352,16,FALSE)*'DGNB LCA Results'!$N$3,0))))</f>
        <v>0</v>
      </c>
      <c r="Q366">
        <v>20</v>
      </c>
      <c r="R366" t="s">
        <v>193</v>
      </c>
    </row>
    <row r="367" spans="1:18" x14ac:dyDescent="0.2">
      <c r="A367" t="str">
        <f t="shared" si="7"/>
        <v>MIX12_30</v>
      </c>
      <c r="B367" s="120">
        <f>IF('DGNB LCA Results'!$P$4=4,VLOOKUP(CONCATENATE('DGNB LCA Results'!$M$3,"_",Q367), $A$2:$P$352,2,FALSE)*'DGNB LCA Results'!$N$3+
                                                                  VLOOKUP(CONCATENATE('DGNB LCA Results'!$K$3,"_",Q367), $A$2:$P$352,2,FALSE)*'DGNB LCA Results'!$L$3+
                                                                  VLOOKUP(CONCATENATE('DGNB LCA Results'!$I$3,"_",Q367), $A$2:$P$352,2,FALSE)*'DGNB LCA Results'!$J$3+
                                                                  VLOOKUP(CONCATENATE('DGNB LCA Results'!$G$3,"_",Q367), $A$2:$P$352,2,FALSE)*'DGNB LCA Results'!$H$3,
IF('DGNB LCA Results'!$P$4=3,VLOOKUP(CONCATENATE('DGNB LCA Results'!$M$3,"_",Q367), $A$2:$P$352,2,FALSE)*'DGNB LCA Results'!$N$3+
                                                                VLOOKUP(CONCATENATE('DGNB LCA Results'!$K$3,"_",Q367), $A$2:$P$352,2,FALSE)*'DGNB LCA Results'!$L$3+
                                                                VLOOKUP(CONCATENATE('DGNB LCA Results'!$I$3,"_",Q367),$A$2:$P$352,2,FALSE)*'DGNB LCA Results'!$J$3,
IF('DGNB LCA Results'!$P$4=2,VLOOKUP(CONCATENATE('DGNB LCA Results'!$M$3,"_",Q367), $A$2:$P$352,2,FALSE)*'DGNB LCA Results'!$N$3+
                                                                 VLOOKUP(CONCATENATE('DGNB LCA Results'!$K$3,"_",Q367),$A$2:$P$352,2,FALSE)*'DGNB LCA Results'!$L$3,
IF('DGNB LCA Results'!$P$4=1,VLOOKUP(CONCATENATE('DGNB LCA Results'!$M$3,"_",Q367), $A$2:$P$352,2,FALSE)*'DGNB LCA Results'!$N$3,0))))</f>
        <v>0</v>
      </c>
      <c r="C367" s="49">
        <f>IF('DGNB LCA Results'!$P$4=4,VLOOKUP(CONCATENATE('DGNB LCA Results'!$M$3,"_",Q367), $A$2:$P$352,3,FALSE)*'DGNB LCA Results'!$N$3+
                                                                  VLOOKUP(CONCATENATE('DGNB LCA Results'!$K$3,"_",Q367), $A$2:$P$352,3,FALSE)*'DGNB LCA Results'!$L$3+
                                                                  VLOOKUP(CONCATENATE('DGNB LCA Results'!$I$3,"_",Q367), $A$2:$P$352,3,FALSE)*'DGNB LCA Results'!$J$3+
                                                                  VLOOKUP(CONCATENATE('DGNB LCA Results'!$G$3,"_",Q367), $A$2:$P$352,3,FALSE)*'DGNB LCA Results'!$H$3,
IF('DGNB LCA Results'!$P$4=3,VLOOKUP(CONCATENATE('DGNB LCA Results'!$M$3,"_",Q367), $A$2:$P$352,3,FALSE)*'DGNB LCA Results'!$N$3+
                                                                VLOOKUP(CONCATENATE('DGNB LCA Results'!$K$3,"_",Q367), $A$2:$P$352,3,FALSE)*'DGNB LCA Results'!$L$3+
                                                                VLOOKUP(CONCATENATE('DGNB LCA Results'!$I$3,"_",Q367),$A$2:$P$352,3,FALSE)*'DGNB LCA Results'!$J$3,
IF('DGNB LCA Results'!$P$4=2,VLOOKUP(CONCATENATE('DGNB LCA Results'!$M$3,"_",Q367), $A$2:$P$352,3,FALSE)*'DGNB LCA Results'!$N$3+
                                                                 VLOOKUP(CONCATENATE('DGNB LCA Results'!$K$3,"_",Q367),$A$2:$P$352,3,FALSE)*'DGNB LCA Results'!$L$3,
IF('DGNB LCA Results'!$P$4=1,VLOOKUP(CONCATENATE('DGNB LCA Results'!$M$3,"_",Q367), $A$2:$P$352,3,FALSE)*'DGNB LCA Results'!$N$3,0))))</f>
        <v>0</v>
      </c>
      <c r="D367" s="49">
        <f>IF('DGNB LCA Results'!$P$4=4,VLOOKUP(CONCATENATE('DGNB LCA Results'!$M$3,"_",Q367), $A$2:$P$352,4,FALSE)*'DGNB LCA Results'!$N$3+
                                                                  VLOOKUP(CONCATENATE('DGNB LCA Results'!$K$3,"_",Q367), $A$2:$P$352,4,FALSE)*'DGNB LCA Results'!$L$3+
                                                                  VLOOKUP(CONCATENATE('DGNB LCA Results'!$I$3,"_",Q367), $A$2:$P$352,4,FALSE)*'DGNB LCA Results'!$J$3+
                                                                  VLOOKUP(CONCATENATE('DGNB LCA Results'!$G$3,"_",Q367), $A$2:$P$352,4,FALSE)*'DGNB LCA Results'!$H$3,
IF('DGNB LCA Results'!$P$4=3,VLOOKUP(CONCATENATE('DGNB LCA Results'!$M$3,"_",Q367), $A$2:$P$352,4,FALSE)*'DGNB LCA Results'!$N$3+
                                                                VLOOKUP(CONCATENATE('DGNB LCA Results'!$K$3,"_",Q367), $A$2:$P$352,4,FALSE)*'DGNB LCA Results'!$L$3+
                                                                VLOOKUP(CONCATENATE('DGNB LCA Results'!$I$3,"_",Q367),$A$2:$P$352,4,FALSE)*'DGNB LCA Results'!$J$3,
IF('DGNB LCA Results'!$P$4=2,VLOOKUP(CONCATENATE('DGNB LCA Results'!$M$3,"_",Q367), $A$2:$P$352,4,FALSE)*'DGNB LCA Results'!$N$3+
                                                                 VLOOKUP(CONCATENATE('DGNB LCA Results'!$K$3,"_",Q367),$A$2:$P$352,4,FALSE)*'DGNB LCA Results'!$L$3,
IF('DGNB LCA Results'!$P$4=1,VLOOKUP(CONCATENATE('DGNB LCA Results'!$M$3,"_",Q367), $A$2:$P$352,4,FALSE)*'DGNB LCA Results'!$N$3,0))))</f>
        <v>0</v>
      </c>
      <c r="E367" s="120">
        <f>IF('DGNB LCA Results'!$P$4=4,VLOOKUP(CONCATENATE('DGNB LCA Results'!$M$3,"_",Q367), $A$2:$P$352,5,FALSE)*'DGNB LCA Results'!$N$3+
                                                                  VLOOKUP(CONCATENATE('DGNB LCA Results'!$K$3,"_",Q367), $A$2:$P$352,5,FALSE)*'DGNB LCA Results'!$L$3+
                                                                  VLOOKUP(CONCATENATE('DGNB LCA Results'!$I$3,"_",Q367), $A$2:$P$352,5,FALSE)*'DGNB LCA Results'!$J$3+
                                                                  VLOOKUP(CONCATENATE('DGNB LCA Results'!$G$3,"_",Q367), $A$2:$P$352,5,FALSE)*'DGNB LCA Results'!$H$3,
IF('DGNB LCA Results'!$P$4=3,VLOOKUP(CONCATENATE('DGNB LCA Results'!$M$3,"_",Q367), $A$2:$P$352,5,FALSE)*'DGNB LCA Results'!$N$3+
                                                                VLOOKUP(CONCATENATE('DGNB LCA Results'!$K$3,"_",Q367), $A$2:$P$352,5,FALSE)*'DGNB LCA Results'!$L$3+
                                                                VLOOKUP(CONCATENATE('DGNB LCA Results'!$I$3,"_",Q367),$A$2:$P$352,5,FALSE)*'DGNB LCA Results'!$J$3,
IF('DGNB LCA Results'!$P$4=2,VLOOKUP(CONCATENATE('DGNB LCA Results'!$M$3,"_",Q367), $A$2:$P$352,5,FALSE)*'DGNB LCA Results'!$N$3+
                                                                 VLOOKUP(CONCATENATE('DGNB LCA Results'!$K$3,"_",Q367),$A$2:$P$352,5,FALSE)*'DGNB LCA Results'!$L$3,
IF('DGNB LCA Results'!$P$4=1,VLOOKUP(CONCATENATE('DGNB LCA Results'!$M$3,"_",Q367), $A$2:$P$352,5,FALSE)*'DGNB LCA Results'!$N$3,0))))</f>
        <v>0</v>
      </c>
      <c r="F367" s="47">
        <f>IF('DGNB LCA Results'!$P$4=4,VLOOKUP(CONCATENATE('DGNB LCA Results'!$M$3,"_",Q367), $A$2:$P$352,6,FALSE)*'DGNB LCA Results'!$N$3+
                                                                  VLOOKUP(CONCATENATE('DGNB LCA Results'!$K$3,"_",Q367), $A$2:$P$352,6,FALSE)*'DGNB LCA Results'!$L$3+
                                                                  VLOOKUP(CONCATENATE('DGNB LCA Results'!$I$3,"_",Q367), $A$2:$P$352,6,FALSE)*'DGNB LCA Results'!$J$3+
                                                                  VLOOKUP(CONCATENATE('DGNB LCA Results'!$G$3,"_",Q367), $A$2:$P$352,6,FALSE)*'DGNB LCA Results'!$H$3,
IF('DGNB LCA Results'!$P$4=3,VLOOKUP(CONCATENATE('DGNB LCA Results'!$M$3,"_",Q367), $A$2:$P$352,6,FALSE)*'DGNB LCA Results'!$N$3+
                                                                VLOOKUP(CONCATENATE('DGNB LCA Results'!$K$3,"_",Q367), $A$2:$P$352,6,FALSE)*'DGNB LCA Results'!$L$3+
                                                                VLOOKUP(CONCATENATE('DGNB LCA Results'!$I$3,"_",Q367),$A$2:$P$352,6,FALSE)*'DGNB LCA Results'!$J$3,
IF('DGNB LCA Results'!$P$4=2,VLOOKUP(CONCATENATE('DGNB LCA Results'!$M$3,"_",Q367), $A$2:$P$352,6,FALSE)*'DGNB LCA Results'!$N$3+
                                                                 VLOOKUP(CONCATENATE('DGNB LCA Results'!$K$3,"_",Q367),$A$2:$P$352,6,FALSE)*'DGNB LCA Results'!$L$3,
IF('DGNB LCA Results'!$P$4=1,VLOOKUP(CONCATENATE('DGNB LCA Results'!$M$3,"_",Q367), $A$2:$P$352,6,FALSE)*'DGNB LCA Results'!$N$3,0))))</f>
        <v>0</v>
      </c>
      <c r="G367" s="121">
        <f>IF('DGNB LCA Results'!$P$4=4,VLOOKUP(CONCATENATE('DGNB LCA Results'!$M$3,"_",Q367), $A$2:$P$352,7,FALSE)*'DGNB LCA Results'!$N$3+
                                                                  VLOOKUP(CONCATENATE('DGNB LCA Results'!$K$3,"_",Q367), $A$2:$P$352,7,FALSE)*'DGNB LCA Results'!$L$3+
                                                                  VLOOKUP(CONCATENATE('DGNB LCA Results'!$I$3,"_",Q367), $A$2:$P$352,7,FALSE)*'DGNB LCA Results'!$J$3+
                                                                  VLOOKUP(CONCATENATE('DGNB LCA Results'!$G$3,"_",Q367), $A$2:$P$352,7,FALSE)*'DGNB LCA Results'!$H$3,
IF('DGNB LCA Results'!$P$4=3,VLOOKUP(CONCATENATE('DGNB LCA Results'!$M$3,"_",Q367), $A$2:$P$352,7,FALSE)*'DGNB LCA Results'!$N$3+
                                                                VLOOKUP(CONCATENATE('DGNB LCA Results'!$K$3,"_",Q367), $A$2:$P$352,7,FALSE)*'DGNB LCA Results'!$L$3+
                                                                VLOOKUP(CONCATENATE('DGNB LCA Results'!$I$3,"_",Q367),$A$2:$P$352,7,FALSE)*'DGNB LCA Results'!$J$3,
IF('DGNB LCA Results'!$P$4=2,VLOOKUP(CONCATENATE('DGNB LCA Results'!$M$3,"_",Q367), $A$2:$P$352,7,FALSE)*'DGNB LCA Results'!$N$3+
                                                                 VLOOKUP(CONCATENATE('DGNB LCA Results'!$K$3,"_",Q367),$A$2:$P$352,7,FALSE)*'DGNB LCA Results'!$L$3,
IF('DGNB LCA Results'!$P$4=1,VLOOKUP(CONCATENATE('DGNB LCA Results'!$M$3,"_",Q367), $A$2:$P$352,7,FALSE)*'DGNB LCA Results'!$N$3,0))))</f>
        <v>0</v>
      </c>
      <c r="H367" s="120">
        <f>IF('DGNB LCA Results'!$P$4=4,VLOOKUP(CONCATENATE('DGNB LCA Results'!$M$3,"_",Q367), $A$2:$P$352,8,FALSE)*'DGNB LCA Results'!$N$3+
                                                                  VLOOKUP(CONCATENATE('DGNB LCA Results'!$K$3,"_",Q367), $A$2:$P$352,8,FALSE)*'DGNB LCA Results'!$L$3+
                                                                  VLOOKUP(CONCATENATE('DGNB LCA Results'!$I$3,"_",Q367), $A$2:$P$352,8,FALSE)*'DGNB LCA Results'!$J$3+
                                                                  VLOOKUP(CONCATENATE('DGNB LCA Results'!$G$3,"_",Q367), $A$2:$P$352,8,FALSE)*'DGNB LCA Results'!$H$3,
IF('DGNB LCA Results'!$P$4=3,VLOOKUP(CONCATENATE('DGNB LCA Results'!$M$3,"_",Q367), $A$2:$P$352,8,FALSE)*'DGNB LCA Results'!$N$3+
                                                                VLOOKUP(CONCATENATE('DGNB LCA Results'!$K$3,"_",Q367), $A$2:$P$352,8,FALSE)*'DGNB LCA Results'!$L$3+
                                                                VLOOKUP(CONCATENATE('DGNB LCA Results'!$I$3,"_",Q367),$A$2:$P$352,8,FALSE)*'DGNB LCA Results'!$J$3,
IF('DGNB LCA Results'!$P$4=2,VLOOKUP(CONCATENATE('DGNB LCA Results'!$M$3,"_",Q367), $A$2:$P$352,8,FALSE)*'DGNB LCA Results'!$N$3+
                                                                 VLOOKUP(CONCATENATE('DGNB LCA Results'!$K$3,"_",Q367),$A$2:$P$352,8,FALSE)*'DGNB LCA Results'!$L$3,
IF('DGNB LCA Results'!$P$4=1,VLOOKUP(CONCATENATE('DGNB LCA Results'!$M$3,"_",Q367), $A$2:$P$352,8,FALSE)*'DGNB LCA Results'!$N$3,0))))</f>
        <v>0</v>
      </c>
      <c r="I367" s="47">
        <f>IF('DGNB LCA Results'!$P$4=4,VLOOKUP(CONCATENATE('DGNB LCA Results'!$M$3,"_",Q367), $A$2:$P$352,9,FALSE)*'DGNB LCA Results'!$N$3+
                                                                  VLOOKUP(CONCATENATE('DGNB LCA Results'!$K$3,"_",Q367), $A$2:$P$352,9,FALSE)*'DGNB LCA Results'!$L$3+
                                                                  VLOOKUP(CONCATENATE('DGNB LCA Results'!$I$3,"_",Q367), $A$2:$P$352,9,FALSE)*'DGNB LCA Results'!$J$3+
                                                                  VLOOKUP(CONCATENATE('DGNB LCA Results'!$G$3,"_",Q367), $A$2:$P$352,9,FALSE)*'DGNB LCA Results'!$H$3,
IF('DGNB LCA Results'!$P$4=3,VLOOKUP(CONCATENATE('DGNB LCA Results'!$M$3,"_",Q367), $A$2:$P$352,9,FALSE)*'DGNB LCA Results'!$N$3+
                                                                VLOOKUP(CONCATENATE('DGNB LCA Results'!$K$3,"_",Q367), $A$2:$P$352,9,FALSE)*'DGNB LCA Results'!$L$3+
                                                                VLOOKUP(CONCATENATE('DGNB LCA Results'!$I$3,"_",Q367),$A$2:$P$352,9,FALSE)*'DGNB LCA Results'!$J$3,
IF('DGNB LCA Results'!$P$4=2,VLOOKUP(CONCATENATE('DGNB LCA Results'!$M$3,"_",Q367), $A$2:$P$352,9,FALSE)*'DGNB LCA Results'!$N$3+
                                                                 VLOOKUP(CONCATENATE('DGNB LCA Results'!$K$3,"_",Q367),$A$2:$P$352,9,FALSE)*'DGNB LCA Results'!$L$3,
IF('DGNB LCA Results'!$P$4=1,VLOOKUP(CONCATENATE('DGNB LCA Results'!$M$3,"_",Q367), $A$2:$P$352,9,FALSE)*'DGNB LCA Results'!$N$3,0))))</f>
        <v>0</v>
      </c>
      <c r="J367" s="121">
        <f>IF('DGNB LCA Results'!$P$4=4,VLOOKUP(CONCATENATE('DGNB LCA Results'!$M$3,"_",Q367), $A$2:$P$352,10,FALSE)*'DGNB LCA Results'!$N$3+
                                                                  VLOOKUP(CONCATENATE('DGNB LCA Results'!$K$3,"_",Q367), $A$2:$P$352,10,FALSE)*'DGNB LCA Results'!$L$3+
                                                                  VLOOKUP(CONCATENATE('DGNB LCA Results'!$I$3,"_",Q367), $A$2:$P$352,10,FALSE)*'DGNB LCA Results'!$J$3+
                                                                  VLOOKUP(CONCATENATE('DGNB LCA Results'!$G$3,"_",Q367), $A$2:$P$352,10,FALSE)*'DGNB LCA Results'!$H$3,
IF('DGNB LCA Results'!$P$4=3,VLOOKUP(CONCATENATE('DGNB LCA Results'!$M$3,"_",Q367), $A$2:$P$352,10,FALSE)*'DGNB LCA Results'!$N$3+
                                                                VLOOKUP(CONCATENATE('DGNB LCA Results'!$K$3,"_",Q367), $A$2:$P$352,10,FALSE)*'DGNB LCA Results'!$L$3+
                                                                VLOOKUP(CONCATENATE('DGNB LCA Results'!$I$3,"_",Q367),$A$2:$P$352,10,FALSE)*'DGNB LCA Results'!$J$3,
IF('DGNB LCA Results'!$P$4=2,VLOOKUP(CONCATENATE('DGNB LCA Results'!$M$3,"_",Q367), $A$2:$P$352,10,FALSE)*'DGNB LCA Results'!$N$3+
                                                                 VLOOKUP(CONCATENATE('DGNB LCA Results'!$K$3,"_",Q367),$A$2:$P$352,10,FALSE)*'DGNB LCA Results'!$L$3,
IF('DGNB LCA Results'!$P$4=1,VLOOKUP(CONCATENATE('DGNB LCA Results'!$M$3,"_",Q367), $A$2:$P$352,10,FALSE)*'DGNB LCA Results'!$N$3,0))))</f>
        <v>0</v>
      </c>
      <c r="K367" s="120">
        <f>IF('DGNB LCA Results'!$P$4=4,VLOOKUP(CONCATENATE('DGNB LCA Results'!$M$3,"_",Q367), $A$2:$P$352,11,FALSE)*'DGNB LCA Results'!$N$3+
                                                                  VLOOKUP(CONCATENATE('DGNB LCA Results'!$K$3,"_",Q367), $A$2:$P$352,11,FALSE)*'DGNB LCA Results'!$L$3+
                                                                  VLOOKUP(CONCATENATE('DGNB LCA Results'!$I$3,"_",Q367), $A$2:$P$352,11,FALSE)*'DGNB LCA Results'!$J$3+
                                                                  VLOOKUP(CONCATENATE('DGNB LCA Results'!$G$3,"_",Q367), $A$2:$P$352,11,FALSE)*'DGNB LCA Results'!$H$3,
IF('DGNB LCA Results'!$P$4=3,VLOOKUP(CONCATENATE('DGNB LCA Results'!$M$3,"_",Q367), $A$2:$P$352,11,FALSE)*'DGNB LCA Results'!$N$3+
                                                                VLOOKUP(CONCATENATE('DGNB LCA Results'!$K$3,"_",Q367), $A$2:$P$352,11,FALSE)*'DGNB LCA Results'!$L$3+
                                                                VLOOKUP(CONCATENATE('DGNB LCA Results'!$I$3,"_",Q367),$A$2:$P$352,11,FALSE)*'DGNB LCA Results'!$J$3,
IF('DGNB LCA Results'!$P$4=2,VLOOKUP(CONCATENATE('DGNB LCA Results'!$M$3,"_",Q367), $A$2:$P$352,11,FALSE)*'DGNB LCA Results'!$N$3+
                                                                 VLOOKUP(CONCATENATE('DGNB LCA Results'!$K$3,"_",Q367),$A$2:$P$352,11,FALSE)*'DGNB LCA Results'!$L$3,
IF('DGNB LCA Results'!$P$4=1,VLOOKUP(CONCATENATE('DGNB LCA Results'!$M$3,"_",Q367), $A$2:$P$352,11,FALSE)*'DGNB LCA Results'!$N$3,0))))</f>
        <v>0</v>
      </c>
      <c r="L367" s="47">
        <f>IF('DGNB LCA Results'!$P$4=4,VLOOKUP(CONCATENATE('DGNB LCA Results'!$M$3,"_",Q367), $A$2:$P$352,12,FALSE)*'DGNB LCA Results'!$N$3+
                                                                  VLOOKUP(CONCATENATE('DGNB LCA Results'!$K$3,"_",Q367), $A$2:$P$352,12,FALSE)*'DGNB LCA Results'!$L$3+
                                                                  VLOOKUP(CONCATENATE('DGNB LCA Results'!$I$3,"_",Q367), $A$2:$P$352,12,FALSE)*'DGNB LCA Results'!$J$3+
                                                                  VLOOKUP(CONCATENATE('DGNB LCA Results'!$G$3,"_",Q367), $A$2:$P$352,12,FALSE)*'DGNB LCA Results'!$H$3,
IF('DGNB LCA Results'!$P$4=3,VLOOKUP(CONCATENATE('DGNB LCA Results'!$M$3,"_",Q367), $A$2:$P$352,12,FALSE)*'DGNB LCA Results'!$N$3+
                                                                VLOOKUP(CONCATENATE('DGNB LCA Results'!$K$3,"_",Q367), $A$2:$P$352,12,FALSE)*'DGNB LCA Results'!$L$3+
                                                                VLOOKUP(CONCATENATE('DGNB LCA Results'!$I$3,"_",Q367),$A$2:$P$352,12,FALSE)*'DGNB LCA Results'!$J$3,
IF('DGNB LCA Results'!$P$4=2,VLOOKUP(CONCATENATE('DGNB LCA Results'!$M$3,"_",Q367), $A$2:$P$352,12,FALSE)*'DGNB LCA Results'!$N$3+
                                                                 VLOOKUP(CONCATENATE('DGNB LCA Results'!$K$3,"_",Q367),$A$2:$P$352,12,FALSE)*'DGNB LCA Results'!$L$3,
IF('DGNB LCA Results'!$P$4=1,VLOOKUP(CONCATENATE('DGNB LCA Results'!$M$3,"_",Q367), $A$2:$P$352,12,FALSE)*'DGNB LCA Results'!$N$3,0))))</f>
        <v>0</v>
      </c>
      <c r="M367" s="121">
        <f>IF('DGNB LCA Results'!$P$4=4,VLOOKUP(CONCATENATE('DGNB LCA Results'!$M$3,"_",Q367), $A$2:$P$352,13,FALSE)*'DGNB LCA Results'!$N$3+
                                                                  VLOOKUP(CONCATENATE('DGNB LCA Results'!$K$3,"_",Q367), $A$2:$P$352,13,FALSE)*'DGNB LCA Results'!$L$3+
                                                                  VLOOKUP(CONCATENATE('DGNB LCA Results'!$I$3,"_",Q367), $A$2:$P$352,13,FALSE)*'DGNB LCA Results'!$J$3+
                                                                  VLOOKUP(CONCATENATE('DGNB LCA Results'!$G$3,"_",Q367), $A$2:$P$352,13,FALSE)*'DGNB LCA Results'!$H$3,
IF('DGNB LCA Results'!$P$4=3,VLOOKUP(CONCATENATE('DGNB LCA Results'!$M$3,"_",Q367), $A$2:$P$352,13,FALSE)*'DGNB LCA Results'!$N$3+
                                                                VLOOKUP(CONCATENATE('DGNB LCA Results'!$K$3,"_",Q367), $A$2:$P$352,13,FALSE)*'DGNB LCA Results'!$L$3+
                                                                VLOOKUP(CONCATENATE('DGNB LCA Results'!$I$3,"_",Q367),$A$2:$P$352,13,FALSE)*'DGNB LCA Results'!$J$3,
IF('DGNB LCA Results'!$P$4=2,VLOOKUP(CONCATENATE('DGNB LCA Results'!$M$3,"_",Q367), $A$2:$P$352,13,FALSE)*'DGNB LCA Results'!$N$3+
                                                                 VLOOKUP(CONCATENATE('DGNB LCA Results'!$K$3,"_",Q367),$A$2:$P$352,13,FALSE)*'DGNB LCA Results'!$L$3,
IF('DGNB LCA Results'!$P$4=1,VLOOKUP(CONCATENATE('DGNB LCA Results'!$M$3,"_",Q367), $A$2:$P$352,13,FALSE)*'DGNB LCA Results'!$N$3,0))))</f>
        <v>0</v>
      </c>
      <c r="N367" s="120">
        <f>IF('DGNB LCA Results'!$P$4=4,VLOOKUP(CONCATENATE('DGNB LCA Results'!$M$3,"_",Q367), $A$2:$P$352,14,FALSE)*'DGNB LCA Results'!$N$3+
                                                                  VLOOKUP(CONCATENATE('DGNB LCA Results'!$K$3,"_",Q367), $A$2:$P$352,14,FALSE)*'DGNB LCA Results'!$L$3+
                                                                  VLOOKUP(CONCATENATE('DGNB LCA Results'!$I$3,"_",Q367), $A$2:$P$352,14,FALSE)*'DGNB LCA Results'!$J$3+
                                                                  VLOOKUP(CONCATENATE('DGNB LCA Results'!$G$3,"_",Q367), $A$2:$P$352,14,FALSE)*'DGNB LCA Results'!$H$3,
IF('DGNB LCA Results'!$P$4=3,VLOOKUP(CONCATENATE('DGNB LCA Results'!$M$3,"_",Q367), $A$2:$P$352,14,FALSE)*'DGNB LCA Results'!$N$3+
                                                                VLOOKUP(CONCATENATE('DGNB LCA Results'!$K$3,"_",Q367), $A$2:$P$352,14,FALSE)*'DGNB LCA Results'!$L$3+
                                                                VLOOKUP(CONCATENATE('DGNB LCA Results'!$I$3,"_",Q367),$A$2:$P$352,14,FALSE)*'DGNB LCA Results'!$J$3,
IF('DGNB LCA Results'!$P$4=2,VLOOKUP(CONCATENATE('DGNB LCA Results'!$M$3,"_",Q367), $A$2:$P$352,14,FALSE)*'DGNB LCA Results'!$N$3+
                                                                 VLOOKUP(CONCATENATE('DGNB LCA Results'!$K$3,"_",Q367),$A$2:$P$352,14,FALSE)*'DGNB LCA Results'!$L$3,
IF('DGNB LCA Results'!$P$4=1,VLOOKUP(CONCATENATE('DGNB LCA Results'!$M$3,"_",Q367), $A$2:$P$352,14,FALSE)*'DGNB LCA Results'!$N$3,0))))</f>
        <v>0</v>
      </c>
      <c r="O367" s="47">
        <f>IF('DGNB LCA Results'!$P$4=4,VLOOKUP(CONCATENATE('DGNB LCA Results'!$M$3,"_",Q367), $A$2:$P$352,15,FALSE)*'DGNB LCA Results'!$N$3+
                                                                  VLOOKUP(CONCATENATE('DGNB LCA Results'!$K$3,"_",Q367), $A$2:$P$352,15,FALSE)*'DGNB LCA Results'!$L$3+
                                                                  VLOOKUP(CONCATENATE('DGNB LCA Results'!$I$3,"_",Q367), $A$2:$P$352,15,FALSE)*'DGNB LCA Results'!$J$3+
                                                                  VLOOKUP(CONCATENATE('DGNB LCA Results'!$G$3,"_",Q367), $A$2:$P$352,15,FALSE)*'DGNB LCA Results'!$H$3,
IF('DGNB LCA Results'!$P$4=3,VLOOKUP(CONCATENATE('DGNB LCA Results'!$M$3,"_",Q367), $A$2:$P$352,15,FALSE)*'DGNB LCA Results'!$N$3+
                                                                VLOOKUP(CONCATENATE('DGNB LCA Results'!$K$3,"_",Q367), $A$2:$P$352,15,FALSE)*'DGNB LCA Results'!$L$3+
                                                                VLOOKUP(CONCATENATE('DGNB LCA Results'!$I$3,"_",Q367),$A$2:$P$352,15,FALSE)*'DGNB LCA Results'!$J$3,
IF('DGNB LCA Results'!$P$4=2,VLOOKUP(CONCATENATE('DGNB LCA Results'!$M$3,"_",Q367), $A$2:$P$352,15,FALSE)*'DGNB LCA Results'!$N$3+
                                                                 VLOOKUP(CONCATENATE('DGNB LCA Results'!$K$3,"_",Q367),$A$2:$P$352,15,FALSE)*'DGNB LCA Results'!$L$3,
IF('DGNB LCA Results'!$P$4=1,VLOOKUP(CONCATENATE('DGNB LCA Results'!$M$3,"_",Q367), $A$2:$P$352,15,FALSE)*'DGNB LCA Results'!$N$3,0))))</f>
        <v>0</v>
      </c>
      <c r="P367" s="121">
        <f>IF('DGNB LCA Results'!$P$4=4,VLOOKUP(CONCATENATE('DGNB LCA Results'!$M$3,"_",Q367), $A$2:$P$352,16,FALSE)*'DGNB LCA Results'!$N$3+
                                                                  VLOOKUP(CONCATENATE('DGNB LCA Results'!$K$3,"_",Q367), $A$2:$P$352,16,FALSE)*'DGNB LCA Results'!$L$3+
                                                                  VLOOKUP(CONCATENATE('DGNB LCA Results'!$I$3,"_",Q367), $A$2:$P$352,16,FALSE)*'DGNB LCA Results'!$J$3+
                                                                  VLOOKUP(CONCATENATE('DGNB LCA Results'!$G$3,"_",Q367), $A$2:$P$352,16,FALSE)*'DGNB LCA Results'!$H$3,
IF('DGNB LCA Results'!$P$4=3,VLOOKUP(CONCATENATE('DGNB LCA Results'!$M$3,"_",Q367), $A$2:$P$352,16,FALSE)*'DGNB LCA Results'!$N$3+
                                                                VLOOKUP(CONCATENATE('DGNB LCA Results'!$K$3,"_",Q367), $A$2:$P$352,16,FALSE)*'DGNB LCA Results'!$L$3+
                                                                VLOOKUP(CONCATENATE('DGNB LCA Results'!$I$3,"_",Q367),$A$2:$P$352,16,FALSE)*'DGNB LCA Results'!$J$3,
IF('DGNB LCA Results'!$P$4=2,VLOOKUP(CONCATENATE('DGNB LCA Results'!$M$3,"_",Q367), $A$2:$P$352,16,FALSE)*'DGNB LCA Results'!$N$3+
                                                                 VLOOKUP(CONCATENATE('DGNB LCA Results'!$K$3,"_",Q367),$A$2:$P$352,16,FALSE)*'DGNB LCA Results'!$L$3,
IF('DGNB LCA Results'!$P$4=1,VLOOKUP(CONCATENATE('DGNB LCA Results'!$M$3,"_",Q367), $A$2:$P$352,16,FALSE)*'DGNB LCA Results'!$N$3,0))))</f>
        <v>0</v>
      </c>
      <c r="Q367">
        <v>30</v>
      </c>
      <c r="R367" t="s">
        <v>193</v>
      </c>
    </row>
    <row r="368" spans="1:18" x14ac:dyDescent="0.2">
      <c r="A368" t="str">
        <f t="shared" si="7"/>
        <v>MIX12_40</v>
      </c>
      <c r="B368" s="120">
        <f>IF('DGNB LCA Results'!$P$4=4,VLOOKUP(CONCATENATE('DGNB LCA Results'!$M$3,"_",Q368), $A$2:$P$352,2,FALSE)*'DGNB LCA Results'!$N$3+
                                                                  VLOOKUP(CONCATENATE('DGNB LCA Results'!$K$3,"_",Q368), $A$2:$P$352,2,FALSE)*'DGNB LCA Results'!$L$3+
                                                                  VLOOKUP(CONCATENATE('DGNB LCA Results'!$I$3,"_",Q368), $A$2:$P$352,2,FALSE)*'DGNB LCA Results'!$J$3+
                                                                  VLOOKUP(CONCATENATE('DGNB LCA Results'!$G$3,"_",Q368), $A$2:$P$352,2,FALSE)*'DGNB LCA Results'!$H$3,
IF('DGNB LCA Results'!$P$4=3,VLOOKUP(CONCATENATE('DGNB LCA Results'!$M$3,"_",Q368), $A$2:$P$352,2,FALSE)*'DGNB LCA Results'!$N$3+
                                                                VLOOKUP(CONCATENATE('DGNB LCA Results'!$K$3,"_",Q368), $A$2:$P$352,2,FALSE)*'DGNB LCA Results'!$L$3+
                                                                VLOOKUP(CONCATENATE('DGNB LCA Results'!$I$3,"_",Q368),$A$2:$P$352,2,FALSE)*'DGNB LCA Results'!$J$3,
IF('DGNB LCA Results'!$P$4=2,VLOOKUP(CONCATENATE('DGNB LCA Results'!$M$3,"_",Q368), $A$2:$P$352,2,FALSE)*'DGNB LCA Results'!$N$3+
                                                                 VLOOKUP(CONCATENATE('DGNB LCA Results'!$K$3,"_",Q368),$A$2:$P$352,2,FALSE)*'DGNB LCA Results'!$L$3,
IF('DGNB LCA Results'!$P$4=1,VLOOKUP(CONCATENATE('DGNB LCA Results'!$M$3,"_",Q368), $A$2:$P$352,2,FALSE)*'DGNB LCA Results'!$N$3,0))))</f>
        <v>0</v>
      </c>
      <c r="C368" s="49">
        <f>IF('DGNB LCA Results'!$P$4=4,VLOOKUP(CONCATENATE('DGNB LCA Results'!$M$3,"_",Q368), $A$2:$P$352,3,FALSE)*'DGNB LCA Results'!$N$3+
                                                                  VLOOKUP(CONCATENATE('DGNB LCA Results'!$K$3,"_",Q368), $A$2:$P$352,3,FALSE)*'DGNB LCA Results'!$L$3+
                                                                  VLOOKUP(CONCATENATE('DGNB LCA Results'!$I$3,"_",Q368), $A$2:$P$352,3,FALSE)*'DGNB LCA Results'!$J$3+
                                                                  VLOOKUP(CONCATENATE('DGNB LCA Results'!$G$3,"_",Q368), $A$2:$P$352,3,FALSE)*'DGNB LCA Results'!$H$3,
IF('DGNB LCA Results'!$P$4=3,VLOOKUP(CONCATENATE('DGNB LCA Results'!$M$3,"_",Q368), $A$2:$P$352,3,FALSE)*'DGNB LCA Results'!$N$3+
                                                                VLOOKUP(CONCATENATE('DGNB LCA Results'!$K$3,"_",Q368), $A$2:$P$352,3,FALSE)*'DGNB LCA Results'!$L$3+
                                                                VLOOKUP(CONCATENATE('DGNB LCA Results'!$I$3,"_",Q368),$A$2:$P$352,3,FALSE)*'DGNB LCA Results'!$J$3,
IF('DGNB LCA Results'!$P$4=2,VLOOKUP(CONCATENATE('DGNB LCA Results'!$M$3,"_",Q368), $A$2:$P$352,3,FALSE)*'DGNB LCA Results'!$N$3+
                                                                 VLOOKUP(CONCATENATE('DGNB LCA Results'!$K$3,"_",Q368),$A$2:$P$352,3,FALSE)*'DGNB LCA Results'!$L$3,
IF('DGNB LCA Results'!$P$4=1,VLOOKUP(CONCATENATE('DGNB LCA Results'!$M$3,"_",Q368), $A$2:$P$352,3,FALSE)*'DGNB LCA Results'!$N$3,0))))</f>
        <v>0</v>
      </c>
      <c r="D368" s="49">
        <f>IF('DGNB LCA Results'!$P$4=4,VLOOKUP(CONCATENATE('DGNB LCA Results'!$M$3,"_",Q368), $A$2:$P$352,4,FALSE)*'DGNB LCA Results'!$N$3+
                                                                  VLOOKUP(CONCATENATE('DGNB LCA Results'!$K$3,"_",Q368), $A$2:$P$352,4,FALSE)*'DGNB LCA Results'!$L$3+
                                                                  VLOOKUP(CONCATENATE('DGNB LCA Results'!$I$3,"_",Q368), $A$2:$P$352,4,FALSE)*'DGNB LCA Results'!$J$3+
                                                                  VLOOKUP(CONCATENATE('DGNB LCA Results'!$G$3,"_",Q368), $A$2:$P$352,4,FALSE)*'DGNB LCA Results'!$H$3,
IF('DGNB LCA Results'!$P$4=3,VLOOKUP(CONCATENATE('DGNB LCA Results'!$M$3,"_",Q368), $A$2:$P$352,4,FALSE)*'DGNB LCA Results'!$N$3+
                                                                VLOOKUP(CONCATENATE('DGNB LCA Results'!$K$3,"_",Q368), $A$2:$P$352,4,FALSE)*'DGNB LCA Results'!$L$3+
                                                                VLOOKUP(CONCATENATE('DGNB LCA Results'!$I$3,"_",Q368),$A$2:$P$352,4,FALSE)*'DGNB LCA Results'!$J$3,
IF('DGNB LCA Results'!$P$4=2,VLOOKUP(CONCATENATE('DGNB LCA Results'!$M$3,"_",Q368), $A$2:$P$352,4,FALSE)*'DGNB LCA Results'!$N$3+
                                                                 VLOOKUP(CONCATENATE('DGNB LCA Results'!$K$3,"_",Q368),$A$2:$P$352,4,FALSE)*'DGNB LCA Results'!$L$3,
IF('DGNB LCA Results'!$P$4=1,VLOOKUP(CONCATENATE('DGNB LCA Results'!$M$3,"_",Q368), $A$2:$P$352,4,FALSE)*'DGNB LCA Results'!$N$3,0))))</f>
        <v>0</v>
      </c>
      <c r="E368" s="120">
        <f>IF('DGNB LCA Results'!$P$4=4,VLOOKUP(CONCATENATE('DGNB LCA Results'!$M$3,"_",Q368), $A$2:$P$352,5,FALSE)*'DGNB LCA Results'!$N$3+
                                                                  VLOOKUP(CONCATENATE('DGNB LCA Results'!$K$3,"_",Q368), $A$2:$P$352,5,FALSE)*'DGNB LCA Results'!$L$3+
                                                                  VLOOKUP(CONCATENATE('DGNB LCA Results'!$I$3,"_",Q368), $A$2:$P$352,5,FALSE)*'DGNB LCA Results'!$J$3+
                                                                  VLOOKUP(CONCATENATE('DGNB LCA Results'!$G$3,"_",Q368), $A$2:$P$352,5,FALSE)*'DGNB LCA Results'!$H$3,
IF('DGNB LCA Results'!$P$4=3,VLOOKUP(CONCATENATE('DGNB LCA Results'!$M$3,"_",Q368), $A$2:$P$352,5,FALSE)*'DGNB LCA Results'!$N$3+
                                                                VLOOKUP(CONCATENATE('DGNB LCA Results'!$K$3,"_",Q368), $A$2:$P$352,5,FALSE)*'DGNB LCA Results'!$L$3+
                                                                VLOOKUP(CONCATENATE('DGNB LCA Results'!$I$3,"_",Q368),$A$2:$P$352,5,FALSE)*'DGNB LCA Results'!$J$3,
IF('DGNB LCA Results'!$P$4=2,VLOOKUP(CONCATENATE('DGNB LCA Results'!$M$3,"_",Q368), $A$2:$P$352,5,FALSE)*'DGNB LCA Results'!$N$3+
                                                                 VLOOKUP(CONCATENATE('DGNB LCA Results'!$K$3,"_",Q368),$A$2:$P$352,5,FALSE)*'DGNB LCA Results'!$L$3,
IF('DGNB LCA Results'!$P$4=1,VLOOKUP(CONCATENATE('DGNB LCA Results'!$M$3,"_",Q368), $A$2:$P$352,5,FALSE)*'DGNB LCA Results'!$N$3,0))))</f>
        <v>0</v>
      </c>
      <c r="F368" s="47">
        <f>IF('DGNB LCA Results'!$P$4=4,VLOOKUP(CONCATENATE('DGNB LCA Results'!$M$3,"_",Q368), $A$2:$P$352,6,FALSE)*'DGNB LCA Results'!$N$3+
                                                                  VLOOKUP(CONCATENATE('DGNB LCA Results'!$K$3,"_",Q368), $A$2:$P$352,6,FALSE)*'DGNB LCA Results'!$L$3+
                                                                  VLOOKUP(CONCATENATE('DGNB LCA Results'!$I$3,"_",Q368), $A$2:$P$352,6,FALSE)*'DGNB LCA Results'!$J$3+
                                                                  VLOOKUP(CONCATENATE('DGNB LCA Results'!$G$3,"_",Q368), $A$2:$P$352,6,FALSE)*'DGNB LCA Results'!$H$3,
IF('DGNB LCA Results'!$P$4=3,VLOOKUP(CONCATENATE('DGNB LCA Results'!$M$3,"_",Q368), $A$2:$P$352,6,FALSE)*'DGNB LCA Results'!$N$3+
                                                                VLOOKUP(CONCATENATE('DGNB LCA Results'!$K$3,"_",Q368), $A$2:$P$352,6,FALSE)*'DGNB LCA Results'!$L$3+
                                                                VLOOKUP(CONCATENATE('DGNB LCA Results'!$I$3,"_",Q368),$A$2:$P$352,6,FALSE)*'DGNB LCA Results'!$J$3,
IF('DGNB LCA Results'!$P$4=2,VLOOKUP(CONCATENATE('DGNB LCA Results'!$M$3,"_",Q368), $A$2:$P$352,6,FALSE)*'DGNB LCA Results'!$N$3+
                                                                 VLOOKUP(CONCATENATE('DGNB LCA Results'!$K$3,"_",Q368),$A$2:$P$352,6,FALSE)*'DGNB LCA Results'!$L$3,
IF('DGNB LCA Results'!$P$4=1,VLOOKUP(CONCATENATE('DGNB LCA Results'!$M$3,"_",Q368), $A$2:$P$352,6,FALSE)*'DGNB LCA Results'!$N$3,0))))</f>
        <v>0</v>
      </c>
      <c r="G368" s="121">
        <f>IF('DGNB LCA Results'!$P$4=4,VLOOKUP(CONCATENATE('DGNB LCA Results'!$M$3,"_",Q368), $A$2:$P$352,7,FALSE)*'DGNB LCA Results'!$N$3+
                                                                  VLOOKUP(CONCATENATE('DGNB LCA Results'!$K$3,"_",Q368), $A$2:$P$352,7,FALSE)*'DGNB LCA Results'!$L$3+
                                                                  VLOOKUP(CONCATENATE('DGNB LCA Results'!$I$3,"_",Q368), $A$2:$P$352,7,FALSE)*'DGNB LCA Results'!$J$3+
                                                                  VLOOKUP(CONCATENATE('DGNB LCA Results'!$G$3,"_",Q368), $A$2:$P$352,7,FALSE)*'DGNB LCA Results'!$H$3,
IF('DGNB LCA Results'!$P$4=3,VLOOKUP(CONCATENATE('DGNB LCA Results'!$M$3,"_",Q368), $A$2:$P$352,7,FALSE)*'DGNB LCA Results'!$N$3+
                                                                VLOOKUP(CONCATENATE('DGNB LCA Results'!$K$3,"_",Q368), $A$2:$P$352,7,FALSE)*'DGNB LCA Results'!$L$3+
                                                                VLOOKUP(CONCATENATE('DGNB LCA Results'!$I$3,"_",Q368),$A$2:$P$352,7,FALSE)*'DGNB LCA Results'!$J$3,
IF('DGNB LCA Results'!$P$4=2,VLOOKUP(CONCATENATE('DGNB LCA Results'!$M$3,"_",Q368), $A$2:$P$352,7,FALSE)*'DGNB LCA Results'!$N$3+
                                                                 VLOOKUP(CONCATENATE('DGNB LCA Results'!$K$3,"_",Q368),$A$2:$P$352,7,FALSE)*'DGNB LCA Results'!$L$3,
IF('DGNB LCA Results'!$P$4=1,VLOOKUP(CONCATENATE('DGNB LCA Results'!$M$3,"_",Q368), $A$2:$P$352,7,FALSE)*'DGNB LCA Results'!$N$3,0))))</f>
        <v>0</v>
      </c>
      <c r="H368" s="120">
        <f>IF('DGNB LCA Results'!$P$4=4,VLOOKUP(CONCATENATE('DGNB LCA Results'!$M$3,"_",Q368), $A$2:$P$352,8,FALSE)*'DGNB LCA Results'!$N$3+
                                                                  VLOOKUP(CONCATENATE('DGNB LCA Results'!$K$3,"_",Q368), $A$2:$P$352,8,FALSE)*'DGNB LCA Results'!$L$3+
                                                                  VLOOKUP(CONCATENATE('DGNB LCA Results'!$I$3,"_",Q368), $A$2:$P$352,8,FALSE)*'DGNB LCA Results'!$J$3+
                                                                  VLOOKUP(CONCATENATE('DGNB LCA Results'!$G$3,"_",Q368), $A$2:$P$352,8,FALSE)*'DGNB LCA Results'!$H$3,
IF('DGNB LCA Results'!$P$4=3,VLOOKUP(CONCATENATE('DGNB LCA Results'!$M$3,"_",Q368), $A$2:$P$352,8,FALSE)*'DGNB LCA Results'!$N$3+
                                                                VLOOKUP(CONCATENATE('DGNB LCA Results'!$K$3,"_",Q368), $A$2:$P$352,8,FALSE)*'DGNB LCA Results'!$L$3+
                                                                VLOOKUP(CONCATENATE('DGNB LCA Results'!$I$3,"_",Q368),$A$2:$P$352,8,FALSE)*'DGNB LCA Results'!$J$3,
IF('DGNB LCA Results'!$P$4=2,VLOOKUP(CONCATENATE('DGNB LCA Results'!$M$3,"_",Q368), $A$2:$P$352,8,FALSE)*'DGNB LCA Results'!$N$3+
                                                                 VLOOKUP(CONCATENATE('DGNB LCA Results'!$K$3,"_",Q368),$A$2:$P$352,8,FALSE)*'DGNB LCA Results'!$L$3,
IF('DGNB LCA Results'!$P$4=1,VLOOKUP(CONCATENATE('DGNB LCA Results'!$M$3,"_",Q368), $A$2:$P$352,8,FALSE)*'DGNB LCA Results'!$N$3,0))))</f>
        <v>0</v>
      </c>
      <c r="I368" s="47">
        <f>IF('DGNB LCA Results'!$P$4=4,VLOOKUP(CONCATENATE('DGNB LCA Results'!$M$3,"_",Q368), $A$2:$P$352,9,FALSE)*'DGNB LCA Results'!$N$3+
                                                                  VLOOKUP(CONCATENATE('DGNB LCA Results'!$K$3,"_",Q368), $A$2:$P$352,9,FALSE)*'DGNB LCA Results'!$L$3+
                                                                  VLOOKUP(CONCATENATE('DGNB LCA Results'!$I$3,"_",Q368), $A$2:$P$352,9,FALSE)*'DGNB LCA Results'!$J$3+
                                                                  VLOOKUP(CONCATENATE('DGNB LCA Results'!$G$3,"_",Q368), $A$2:$P$352,9,FALSE)*'DGNB LCA Results'!$H$3,
IF('DGNB LCA Results'!$P$4=3,VLOOKUP(CONCATENATE('DGNB LCA Results'!$M$3,"_",Q368), $A$2:$P$352,9,FALSE)*'DGNB LCA Results'!$N$3+
                                                                VLOOKUP(CONCATENATE('DGNB LCA Results'!$K$3,"_",Q368), $A$2:$P$352,9,FALSE)*'DGNB LCA Results'!$L$3+
                                                                VLOOKUP(CONCATENATE('DGNB LCA Results'!$I$3,"_",Q368),$A$2:$P$352,9,FALSE)*'DGNB LCA Results'!$J$3,
IF('DGNB LCA Results'!$P$4=2,VLOOKUP(CONCATENATE('DGNB LCA Results'!$M$3,"_",Q368), $A$2:$P$352,9,FALSE)*'DGNB LCA Results'!$N$3+
                                                                 VLOOKUP(CONCATENATE('DGNB LCA Results'!$K$3,"_",Q368),$A$2:$P$352,9,FALSE)*'DGNB LCA Results'!$L$3,
IF('DGNB LCA Results'!$P$4=1,VLOOKUP(CONCATENATE('DGNB LCA Results'!$M$3,"_",Q368), $A$2:$P$352,9,FALSE)*'DGNB LCA Results'!$N$3,0))))</f>
        <v>0</v>
      </c>
      <c r="J368" s="121">
        <f>IF('DGNB LCA Results'!$P$4=4,VLOOKUP(CONCATENATE('DGNB LCA Results'!$M$3,"_",Q368), $A$2:$P$352,10,FALSE)*'DGNB LCA Results'!$N$3+
                                                                  VLOOKUP(CONCATENATE('DGNB LCA Results'!$K$3,"_",Q368), $A$2:$P$352,10,FALSE)*'DGNB LCA Results'!$L$3+
                                                                  VLOOKUP(CONCATENATE('DGNB LCA Results'!$I$3,"_",Q368), $A$2:$P$352,10,FALSE)*'DGNB LCA Results'!$J$3+
                                                                  VLOOKUP(CONCATENATE('DGNB LCA Results'!$G$3,"_",Q368), $A$2:$P$352,10,FALSE)*'DGNB LCA Results'!$H$3,
IF('DGNB LCA Results'!$P$4=3,VLOOKUP(CONCATENATE('DGNB LCA Results'!$M$3,"_",Q368), $A$2:$P$352,10,FALSE)*'DGNB LCA Results'!$N$3+
                                                                VLOOKUP(CONCATENATE('DGNB LCA Results'!$K$3,"_",Q368), $A$2:$P$352,10,FALSE)*'DGNB LCA Results'!$L$3+
                                                                VLOOKUP(CONCATENATE('DGNB LCA Results'!$I$3,"_",Q368),$A$2:$P$352,10,FALSE)*'DGNB LCA Results'!$J$3,
IF('DGNB LCA Results'!$P$4=2,VLOOKUP(CONCATENATE('DGNB LCA Results'!$M$3,"_",Q368), $A$2:$P$352,10,FALSE)*'DGNB LCA Results'!$N$3+
                                                                 VLOOKUP(CONCATENATE('DGNB LCA Results'!$K$3,"_",Q368),$A$2:$P$352,10,FALSE)*'DGNB LCA Results'!$L$3,
IF('DGNB LCA Results'!$P$4=1,VLOOKUP(CONCATENATE('DGNB LCA Results'!$M$3,"_",Q368), $A$2:$P$352,10,FALSE)*'DGNB LCA Results'!$N$3,0))))</f>
        <v>0</v>
      </c>
      <c r="K368" s="120">
        <f>IF('DGNB LCA Results'!$P$4=4,VLOOKUP(CONCATENATE('DGNB LCA Results'!$M$3,"_",Q368), $A$2:$P$352,11,FALSE)*'DGNB LCA Results'!$N$3+
                                                                  VLOOKUP(CONCATENATE('DGNB LCA Results'!$K$3,"_",Q368), $A$2:$P$352,11,FALSE)*'DGNB LCA Results'!$L$3+
                                                                  VLOOKUP(CONCATENATE('DGNB LCA Results'!$I$3,"_",Q368), $A$2:$P$352,11,FALSE)*'DGNB LCA Results'!$J$3+
                                                                  VLOOKUP(CONCATENATE('DGNB LCA Results'!$G$3,"_",Q368), $A$2:$P$352,11,FALSE)*'DGNB LCA Results'!$H$3,
IF('DGNB LCA Results'!$P$4=3,VLOOKUP(CONCATENATE('DGNB LCA Results'!$M$3,"_",Q368), $A$2:$P$352,11,FALSE)*'DGNB LCA Results'!$N$3+
                                                                VLOOKUP(CONCATENATE('DGNB LCA Results'!$K$3,"_",Q368), $A$2:$P$352,11,FALSE)*'DGNB LCA Results'!$L$3+
                                                                VLOOKUP(CONCATENATE('DGNB LCA Results'!$I$3,"_",Q368),$A$2:$P$352,11,FALSE)*'DGNB LCA Results'!$J$3,
IF('DGNB LCA Results'!$P$4=2,VLOOKUP(CONCATENATE('DGNB LCA Results'!$M$3,"_",Q368), $A$2:$P$352,11,FALSE)*'DGNB LCA Results'!$N$3+
                                                                 VLOOKUP(CONCATENATE('DGNB LCA Results'!$K$3,"_",Q368),$A$2:$P$352,11,FALSE)*'DGNB LCA Results'!$L$3,
IF('DGNB LCA Results'!$P$4=1,VLOOKUP(CONCATENATE('DGNB LCA Results'!$M$3,"_",Q368), $A$2:$P$352,11,FALSE)*'DGNB LCA Results'!$N$3,0))))</f>
        <v>0</v>
      </c>
      <c r="L368" s="47">
        <f>IF('DGNB LCA Results'!$P$4=4,VLOOKUP(CONCATENATE('DGNB LCA Results'!$M$3,"_",Q368), $A$2:$P$352,12,FALSE)*'DGNB LCA Results'!$N$3+
                                                                  VLOOKUP(CONCATENATE('DGNB LCA Results'!$K$3,"_",Q368), $A$2:$P$352,12,FALSE)*'DGNB LCA Results'!$L$3+
                                                                  VLOOKUP(CONCATENATE('DGNB LCA Results'!$I$3,"_",Q368), $A$2:$P$352,12,FALSE)*'DGNB LCA Results'!$J$3+
                                                                  VLOOKUP(CONCATENATE('DGNB LCA Results'!$G$3,"_",Q368), $A$2:$P$352,12,FALSE)*'DGNB LCA Results'!$H$3,
IF('DGNB LCA Results'!$P$4=3,VLOOKUP(CONCATENATE('DGNB LCA Results'!$M$3,"_",Q368), $A$2:$P$352,12,FALSE)*'DGNB LCA Results'!$N$3+
                                                                VLOOKUP(CONCATENATE('DGNB LCA Results'!$K$3,"_",Q368), $A$2:$P$352,12,FALSE)*'DGNB LCA Results'!$L$3+
                                                                VLOOKUP(CONCATENATE('DGNB LCA Results'!$I$3,"_",Q368),$A$2:$P$352,12,FALSE)*'DGNB LCA Results'!$J$3,
IF('DGNB LCA Results'!$P$4=2,VLOOKUP(CONCATENATE('DGNB LCA Results'!$M$3,"_",Q368), $A$2:$P$352,12,FALSE)*'DGNB LCA Results'!$N$3+
                                                                 VLOOKUP(CONCATENATE('DGNB LCA Results'!$K$3,"_",Q368),$A$2:$P$352,12,FALSE)*'DGNB LCA Results'!$L$3,
IF('DGNB LCA Results'!$P$4=1,VLOOKUP(CONCATENATE('DGNB LCA Results'!$M$3,"_",Q368), $A$2:$P$352,12,FALSE)*'DGNB LCA Results'!$N$3,0))))</f>
        <v>0</v>
      </c>
      <c r="M368" s="121">
        <f>IF('DGNB LCA Results'!$P$4=4,VLOOKUP(CONCATENATE('DGNB LCA Results'!$M$3,"_",Q368), $A$2:$P$352,13,FALSE)*'DGNB LCA Results'!$N$3+
                                                                  VLOOKUP(CONCATENATE('DGNB LCA Results'!$K$3,"_",Q368), $A$2:$P$352,13,FALSE)*'DGNB LCA Results'!$L$3+
                                                                  VLOOKUP(CONCATENATE('DGNB LCA Results'!$I$3,"_",Q368), $A$2:$P$352,13,FALSE)*'DGNB LCA Results'!$J$3+
                                                                  VLOOKUP(CONCATENATE('DGNB LCA Results'!$G$3,"_",Q368), $A$2:$P$352,13,FALSE)*'DGNB LCA Results'!$H$3,
IF('DGNB LCA Results'!$P$4=3,VLOOKUP(CONCATENATE('DGNB LCA Results'!$M$3,"_",Q368), $A$2:$P$352,13,FALSE)*'DGNB LCA Results'!$N$3+
                                                                VLOOKUP(CONCATENATE('DGNB LCA Results'!$K$3,"_",Q368), $A$2:$P$352,13,FALSE)*'DGNB LCA Results'!$L$3+
                                                                VLOOKUP(CONCATENATE('DGNB LCA Results'!$I$3,"_",Q368),$A$2:$P$352,13,FALSE)*'DGNB LCA Results'!$J$3,
IF('DGNB LCA Results'!$P$4=2,VLOOKUP(CONCATENATE('DGNB LCA Results'!$M$3,"_",Q368), $A$2:$P$352,13,FALSE)*'DGNB LCA Results'!$N$3+
                                                                 VLOOKUP(CONCATENATE('DGNB LCA Results'!$K$3,"_",Q368),$A$2:$P$352,13,FALSE)*'DGNB LCA Results'!$L$3,
IF('DGNB LCA Results'!$P$4=1,VLOOKUP(CONCATENATE('DGNB LCA Results'!$M$3,"_",Q368), $A$2:$P$352,13,FALSE)*'DGNB LCA Results'!$N$3,0))))</f>
        <v>0</v>
      </c>
      <c r="N368" s="120">
        <f>IF('DGNB LCA Results'!$P$4=4,VLOOKUP(CONCATENATE('DGNB LCA Results'!$M$3,"_",Q368), $A$2:$P$352,14,FALSE)*'DGNB LCA Results'!$N$3+
                                                                  VLOOKUP(CONCATENATE('DGNB LCA Results'!$K$3,"_",Q368), $A$2:$P$352,14,FALSE)*'DGNB LCA Results'!$L$3+
                                                                  VLOOKUP(CONCATENATE('DGNB LCA Results'!$I$3,"_",Q368), $A$2:$P$352,14,FALSE)*'DGNB LCA Results'!$J$3+
                                                                  VLOOKUP(CONCATENATE('DGNB LCA Results'!$G$3,"_",Q368), $A$2:$P$352,14,FALSE)*'DGNB LCA Results'!$H$3,
IF('DGNB LCA Results'!$P$4=3,VLOOKUP(CONCATENATE('DGNB LCA Results'!$M$3,"_",Q368), $A$2:$P$352,14,FALSE)*'DGNB LCA Results'!$N$3+
                                                                VLOOKUP(CONCATENATE('DGNB LCA Results'!$K$3,"_",Q368), $A$2:$P$352,14,FALSE)*'DGNB LCA Results'!$L$3+
                                                                VLOOKUP(CONCATENATE('DGNB LCA Results'!$I$3,"_",Q368),$A$2:$P$352,14,FALSE)*'DGNB LCA Results'!$J$3,
IF('DGNB LCA Results'!$P$4=2,VLOOKUP(CONCATENATE('DGNB LCA Results'!$M$3,"_",Q368), $A$2:$P$352,14,FALSE)*'DGNB LCA Results'!$N$3+
                                                                 VLOOKUP(CONCATENATE('DGNB LCA Results'!$K$3,"_",Q368),$A$2:$P$352,14,FALSE)*'DGNB LCA Results'!$L$3,
IF('DGNB LCA Results'!$P$4=1,VLOOKUP(CONCATENATE('DGNB LCA Results'!$M$3,"_",Q368), $A$2:$P$352,14,FALSE)*'DGNB LCA Results'!$N$3,0))))</f>
        <v>0</v>
      </c>
      <c r="O368" s="47">
        <f>IF('DGNB LCA Results'!$P$4=4,VLOOKUP(CONCATENATE('DGNB LCA Results'!$M$3,"_",Q368), $A$2:$P$352,15,FALSE)*'DGNB LCA Results'!$N$3+
                                                                  VLOOKUP(CONCATENATE('DGNB LCA Results'!$K$3,"_",Q368), $A$2:$P$352,15,FALSE)*'DGNB LCA Results'!$L$3+
                                                                  VLOOKUP(CONCATENATE('DGNB LCA Results'!$I$3,"_",Q368), $A$2:$P$352,15,FALSE)*'DGNB LCA Results'!$J$3+
                                                                  VLOOKUP(CONCATENATE('DGNB LCA Results'!$G$3,"_",Q368), $A$2:$P$352,15,FALSE)*'DGNB LCA Results'!$H$3,
IF('DGNB LCA Results'!$P$4=3,VLOOKUP(CONCATENATE('DGNB LCA Results'!$M$3,"_",Q368), $A$2:$P$352,15,FALSE)*'DGNB LCA Results'!$N$3+
                                                                VLOOKUP(CONCATENATE('DGNB LCA Results'!$K$3,"_",Q368), $A$2:$P$352,15,FALSE)*'DGNB LCA Results'!$L$3+
                                                                VLOOKUP(CONCATENATE('DGNB LCA Results'!$I$3,"_",Q368),$A$2:$P$352,15,FALSE)*'DGNB LCA Results'!$J$3,
IF('DGNB LCA Results'!$P$4=2,VLOOKUP(CONCATENATE('DGNB LCA Results'!$M$3,"_",Q368), $A$2:$P$352,15,FALSE)*'DGNB LCA Results'!$N$3+
                                                                 VLOOKUP(CONCATENATE('DGNB LCA Results'!$K$3,"_",Q368),$A$2:$P$352,15,FALSE)*'DGNB LCA Results'!$L$3,
IF('DGNB LCA Results'!$P$4=1,VLOOKUP(CONCATENATE('DGNB LCA Results'!$M$3,"_",Q368), $A$2:$P$352,15,FALSE)*'DGNB LCA Results'!$N$3,0))))</f>
        <v>0</v>
      </c>
      <c r="P368" s="121">
        <f>IF('DGNB LCA Results'!$P$4=4,VLOOKUP(CONCATENATE('DGNB LCA Results'!$M$3,"_",Q368), $A$2:$P$352,16,FALSE)*'DGNB LCA Results'!$N$3+
                                                                  VLOOKUP(CONCATENATE('DGNB LCA Results'!$K$3,"_",Q368), $A$2:$P$352,16,FALSE)*'DGNB LCA Results'!$L$3+
                                                                  VLOOKUP(CONCATENATE('DGNB LCA Results'!$I$3,"_",Q368), $A$2:$P$352,16,FALSE)*'DGNB LCA Results'!$J$3+
                                                                  VLOOKUP(CONCATENATE('DGNB LCA Results'!$G$3,"_",Q368), $A$2:$P$352,16,FALSE)*'DGNB LCA Results'!$H$3,
IF('DGNB LCA Results'!$P$4=3,VLOOKUP(CONCATENATE('DGNB LCA Results'!$M$3,"_",Q368), $A$2:$P$352,16,FALSE)*'DGNB LCA Results'!$N$3+
                                                                VLOOKUP(CONCATENATE('DGNB LCA Results'!$K$3,"_",Q368), $A$2:$P$352,16,FALSE)*'DGNB LCA Results'!$L$3+
                                                                VLOOKUP(CONCATENATE('DGNB LCA Results'!$I$3,"_",Q368),$A$2:$P$352,16,FALSE)*'DGNB LCA Results'!$J$3,
IF('DGNB LCA Results'!$P$4=2,VLOOKUP(CONCATENATE('DGNB LCA Results'!$M$3,"_",Q368), $A$2:$P$352,16,FALSE)*'DGNB LCA Results'!$N$3+
                                                                 VLOOKUP(CONCATENATE('DGNB LCA Results'!$K$3,"_",Q368),$A$2:$P$352,16,FALSE)*'DGNB LCA Results'!$L$3,
IF('DGNB LCA Results'!$P$4=1,VLOOKUP(CONCATENATE('DGNB LCA Results'!$M$3,"_",Q368), $A$2:$P$352,16,FALSE)*'DGNB LCA Results'!$N$3,0))))</f>
        <v>0</v>
      </c>
      <c r="Q368">
        <v>40</v>
      </c>
      <c r="R368" t="s">
        <v>193</v>
      </c>
    </row>
    <row r="369" spans="1:18" x14ac:dyDescent="0.2">
      <c r="A369" t="str">
        <f t="shared" si="7"/>
        <v>MIX12_50</v>
      </c>
      <c r="B369" s="120">
        <f>IF('DGNB LCA Results'!$P$4=4,VLOOKUP(CONCATENATE('DGNB LCA Results'!$M$3,"_",Q369), $A$2:$P$352,2,FALSE)*'DGNB LCA Results'!$N$3+
                                                                  VLOOKUP(CONCATENATE('DGNB LCA Results'!$K$3,"_",Q369), $A$2:$P$352,2,FALSE)*'DGNB LCA Results'!$L$3+
                                                                  VLOOKUP(CONCATENATE('DGNB LCA Results'!$I$3,"_",Q369), $A$2:$P$352,2,FALSE)*'DGNB LCA Results'!$J$3+
                                                                  VLOOKUP(CONCATENATE('DGNB LCA Results'!$G$3,"_",Q369), $A$2:$P$352,2,FALSE)*'DGNB LCA Results'!$H$3,
IF('DGNB LCA Results'!$P$4=3,VLOOKUP(CONCATENATE('DGNB LCA Results'!$M$3,"_",Q369), $A$2:$P$352,2,FALSE)*'DGNB LCA Results'!$N$3+
                                                                VLOOKUP(CONCATENATE('DGNB LCA Results'!$K$3,"_",Q369), $A$2:$P$352,2,FALSE)*'DGNB LCA Results'!$L$3+
                                                                VLOOKUP(CONCATENATE('DGNB LCA Results'!$I$3,"_",Q369),$A$2:$P$352,2,FALSE)*'DGNB LCA Results'!$J$3,
IF('DGNB LCA Results'!$P$4=2,VLOOKUP(CONCATENATE('DGNB LCA Results'!$M$3,"_",Q369), $A$2:$P$352,2,FALSE)*'DGNB LCA Results'!$N$3+
                                                                 VLOOKUP(CONCATENATE('DGNB LCA Results'!$K$3,"_",Q369),$A$2:$P$352,2,FALSE)*'DGNB LCA Results'!$L$3,
IF('DGNB LCA Results'!$P$4=1,VLOOKUP(CONCATENATE('DGNB LCA Results'!$M$3,"_",Q369), $A$2:$P$352,2,FALSE)*'DGNB LCA Results'!$N$3,0))))</f>
        <v>0</v>
      </c>
      <c r="C369" s="49">
        <f>IF('DGNB LCA Results'!$P$4=4,VLOOKUP(CONCATENATE('DGNB LCA Results'!$M$3,"_",Q369), $A$2:$P$352,3,FALSE)*'DGNB LCA Results'!$N$3+
                                                                  VLOOKUP(CONCATENATE('DGNB LCA Results'!$K$3,"_",Q369), $A$2:$P$352,3,FALSE)*'DGNB LCA Results'!$L$3+
                                                                  VLOOKUP(CONCATENATE('DGNB LCA Results'!$I$3,"_",Q369), $A$2:$P$352,3,FALSE)*'DGNB LCA Results'!$J$3+
                                                                  VLOOKUP(CONCATENATE('DGNB LCA Results'!$G$3,"_",Q369), $A$2:$P$352,3,FALSE)*'DGNB LCA Results'!$H$3,
IF('DGNB LCA Results'!$P$4=3,VLOOKUP(CONCATENATE('DGNB LCA Results'!$M$3,"_",Q369), $A$2:$P$352,3,FALSE)*'DGNB LCA Results'!$N$3+
                                                                VLOOKUP(CONCATENATE('DGNB LCA Results'!$K$3,"_",Q369), $A$2:$P$352,3,FALSE)*'DGNB LCA Results'!$L$3+
                                                                VLOOKUP(CONCATENATE('DGNB LCA Results'!$I$3,"_",Q369),$A$2:$P$352,3,FALSE)*'DGNB LCA Results'!$J$3,
IF('DGNB LCA Results'!$P$4=2,VLOOKUP(CONCATENATE('DGNB LCA Results'!$M$3,"_",Q369), $A$2:$P$352,3,FALSE)*'DGNB LCA Results'!$N$3+
                                                                 VLOOKUP(CONCATENATE('DGNB LCA Results'!$K$3,"_",Q369),$A$2:$P$352,3,FALSE)*'DGNB LCA Results'!$L$3,
IF('DGNB LCA Results'!$P$4=1,VLOOKUP(CONCATENATE('DGNB LCA Results'!$M$3,"_",Q369), $A$2:$P$352,3,FALSE)*'DGNB LCA Results'!$N$3,0))))</f>
        <v>0</v>
      </c>
      <c r="D369" s="49">
        <f>IF('DGNB LCA Results'!$P$4=4,VLOOKUP(CONCATENATE('DGNB LCA Results'!$M$3,"_",Q369), $A$2:$P$352,4,FALSE)*'DGNB LCA Results'!$N$3+
                                                                  VLOOKUP(CONCATENATE('DGNB LCA Results'!$K$3,"_",Q369), $A$2:$P$352,4,FALSE)*'DGNB LCA Results'!$L$3+
                                                                  VLOOKUP(CONCATENATE('DGNB LCA Results'!$I$3,"_",Q369), $A$2:$P$352,4,FALSE)*'DGNB LCA Results'!$J$3+
                                                                  VLOOKUP(CONCATENATE('DGNB LCA Results'!$G$3,"_",Q369), $A$2:$P$352,4,FALSE)*'DGNB LCA Results'!$H$3,
IF('DGNB LCA Results'!$P$4=3,VLOOKUP(CONCATENATE('DGNB LCA Results'!$M$3,"_",Q369), $A$2:$P$352,4,FALSE)*'DGNB LCA Results'!$N$3+
                                                                VLOOKUP(CONCATENATE('DGNB LCA Results'!$K$3,"_",Q369), $A$2:$P$352,4,FALSE)*'DGNB LCA Results'!$L$3+
                                                                VLOOKUP(CONCATENATE('DGNB LCA Results'!$I$3,"_",Q369),$A$2:$P$352,4,FALSE)*'DGNB LCA Results'!$J$3,
IF('DGNB LCA Results'!$P$4=2,VLOOKUP(CONCATENATE('DGNB LCA Results'!$M$3,"_",Q369), $A$2:$P$352,4,FALSE)*'DGNB LCA Results'!$N$3+
                                                                 VLOOKUP(CONCATENATE('DGNB LCA Results'!$K$3,"_",Q369),$A$2:$P$352,4,FALSE)*'DGNB LCA Results'!$L$3,
IF('DGNB LCA Results'!$P$4=1,VLOOKUP(CONCATENATE('DGNB LCA Results'!$M$3,"_",Q369), $A$2:$P$352,4,FALSE)*'DGNB LCA Results'!$N$3,0))))</f>
        <v>0</v>
      </c>
      <c r="E369" s="120">
        <f>IF('DGNB LCA Results'!$P$4=4,VLOOKUP(CONCATENATE('DGNB LCA Results'!$M$3,"_",Q369), $A$2:$P$352,5,FALSE)*'DGNB LCA Results'!$N$3+
                                                                  VLOOKUP(CONCATENATE('DGNB LCA Results'!$K$3,"_",Q369), $A$2:$P$352,5,FALSE)*'DGNB LCA Results'!$L$3+
                                                                  VLOOKUP(CONCATENATE('DGNB LCA Results'!$I$3,"_",Q369), $A$2:$P$352,5,FALSE)*'DGNB LCA Results'!$J$3+
                                                                  VLOOKUP(CONCATENATE('DGNB LCA Results'!$G$3,"_",Q369), $A$2:$P$352,5,FALSE)*'DGNB LCA Results'!$H$3,
IF('DGNB LCA Results'!$P$4=3,VLOOKUP(CONCATENATE('DGNB LCA Results'!$M$3,"_",Q369), $A$2:$P$352,5,FALSE)*'DGNB LCA Results'!$N$3+
                                                                VLOOKUP(CONCATENATE('DGNB LCA Results'!$K$3,"_",Q369), $A$2:$P$352,5,FALSE)*'DGNB LCA Results'!$L$3+
                                                                VLOOKUP(CONCATENATE('DGNB LCA Results'!$I$3,"_",Q369),$A$2:$P$352,5,FALSE)*'DGNB LCA Results'!$J$3,
IF('DGNB LCA Results'!$P$4=2,VLOOKUP(CONCATENATE('DGNB LCA Results'!$M$3,"_",Q369), $A$2:$P$352,5,FALSE)*'DGNB LCA Results'!$N$3+
                                                                 VLOOKUP(CONCATENATE('DGNB LCA Results'!$K$3,"_",Q369),$A$2:$P$352,5,FALSE)*'DGNB LCA Results'!$L$3,
IF('DGNB LCA Results'!$P$4=1,VLOOKUP(CONCATENATE('DGNB LCA Results'!$M$3,"_",Q369), $A$2:$P$352,5,FALSE)*'DGNB LCA Results'!$N$3,0))))</f>
        <v>0</v>
      </c>
      <c r="F369" s="47">
        <f>IF('DGNB LCA Results'!$P$4=4,VLOOKUP(CONCATENATE('DGNB LCA Results'!$M$3,"_",Q369), $A$2:$P$352,6,FALSE)*'DGNB LCA Results'!$N$3+
                                                                  VLOOKUP(CONCATENATE('DGNB LCA Results'!$K$3,"_",Q369), $A$2:$P$352,6,FALSE)*'DGNB LCA Results'!$L$3+
                                                                  VLOOKUP(CONCATENATE('DGNB LCA Results'!$I$3,"_",Q369), $A$2:$P$352,6,FALSE)*'DGNB LCA Results'!$J$3+
                                                                  VLOOKUP(CONCATENATE('DGNB LCA Results'!$G$3,"_",Q369), $A$2:$P$352,6,FALSE)*'DGNB LCA Results'!$H$3,
IF('DGNB LCA Results'!$P$4=3,VLOOKUP(CONCATENATE('DGNB LCA Results'!$M$3,"_",Q369), $A$2:$P$352,6,FALSE)*'DGNB LCA Results'!$N$3+
                                                                VLOOKUP(CONCATENATE('DGNB LCA Results'!$K$3,"_",Q369), $A$2:$P$352,6,FALSE)*'DGNB LCA Results'!$L$3+
                                                                VLOOKUP(CONCATENATE('DGNB LCA Results'!$I$3,"_",Q369),$A$2:$P$352,6,FALSE)*'DGNB LCA Results'!$J$3,
IF('DGNB LCA Results'!$P$4=2,VLOOKUP(CONCATENATE('DGNB LCA Results'!$M$3,"_",Q369), $A$2:$P$352,6,FALSE)*'DGNB LCA Results'!$N$3+
                                                                 VLOOKUP(CONCATENATE('DGNB LCA Results'!$K$3,"_",Q369),$A$2:$P$352,6,FALSE)*'DGNB LCA Results'!$L$3,
IF('DGNB LCA Results'!$P$4=1,VLOOKUP(CONCATENATE('DGNB LCA Results'!$M$3,"_",Q369), $A$2:$P$352,6,FALSE)*'DGNB LCA Results'!$N$3,0))))</f>
        <v>0</v>
      </c>
      <c r="G369" s="121">
        <f>IF('DGNB LCA Results'!$P$4=4,VLOOKUP(CONCATENATE('DGNB LCA Results'!$M$3,"_",Q369), $A$2:$P$352,7,FALSE)*'DGNB LCA Results'!$N$3+
                                                                  VLOOKUP(CONCATENATE('DGNB LCA Results'!$K$3,"_",Q369), $A$2:$P$352,7,FALSE)*'DGNB LCA Results'!$L$3+
                                                                  VLOOKUP(CONCATENATE('DGNB LCA Results'!$I$3,"_",Q369), $A$2:$P$352,7,FALSE)*'DGNB LCA Results'!$J$3+
                                                                  VLOOKUP(CONCATENATE('DGNB LCA Results'!$G$3,"_",Q369), $A$2:$P$352,7,FALSE)*'DGNB LCA Results'!$H$3,
IF('DGNB LCA Results'!$P$4=3,VLOOKUP(CONCATENATE('DGNB LCA Results'!$M$3,"_",Q369), $A$2:$P$352,7,FALSE)*'DGNB LCA Results'!$N$3+
                                                                VLOOKUP(CONCATENATE('DGNB LCA Results'!$K$3,"_",Q369), $A$2:$P$352,7,FALSE)*'DGNB LCA Results'!$L$3+
                                                                VLOOKUP(CONCATENATE('DGNB LCA Results'!$I$3,"_",Q369),$A$2:$P$352,7,FALSE)*'DGNB LCA Results'!$J$3,
IF('DGNB LCA Results'!$P$4=2,VLOOKUP(CONCATENATE('DGNB LCA Results'!$M$3,"_",Q369), $A$2:$P$352,7,FALSE)*'DGNB LCA Results'!$N$3+
                                                                 VLOOKUP(CONCATENATE('DGNB LCA Results'!$K$3,"_",Q369),$A$2:$P$352,7,FALSE)*'DGNB LCA Results'!$L$3,
IF('DGNB LCA Results'!$P$4=1,VLOOKUP(CONCATENATE('DGNB LCA Results'!$M$3,"_",Q369), $A$2:$P$352,7,FALSE)*'DGNB LCA Results'!$N$3,0))))</f>
        <v>0</v>
      </c>
      <c r="H369" s="120">
        <f>IF('DGNB LCA Results'!$P$4=4,VLOOKUP(CONCATENATE('DGNB LCA Results'!$M$3,"_",Q369), $A$2:$P$352,8,FALSE)*'DGNB LCA Results'!$N$3+
                                                                  VLOOKUP(CONCATENATE('DGNB LCA Results'!$K$3,"_",Q369), $A$2:$P$352,8,FALSE)*'DGNB LCA Results'!$L$3+
                                                                  VLOOKUP(CONCATENATE('DGNB LCA Results'!$I$3,"_",Q369), $A$2:$P$352,8,FALSE)*'DGNB LCA Results'!$J$3+
                                                                  VLOOKUP(CONCATENATE('DGNB LCA Results'!$G$3,"_",Q369), $A$2:$P$352,8,FALSE)*'DGNB LCA Results'!$H$3,
IF('DGNB LCA Results'!$P$4=3,VLOOKUP(CONCATENATE('DGNB LCA Results'!$M$3,"_",Q369), $A$2:$P$352,8,FALSE)*'DGNB LCA Results'!$N$3+
                                                                VLOOKUP(CONCATENATE('DGNB LCA Results'!$K$3,"_",Q369), $A$2:$P$352,8,FALSE)*'DGNB LCA Results'!$L$3+
                                                                VLOOKUP(CONCATENATE('DGNB LCA Results'!$I$3,"_",Q369),$A$2:$P$352,8,FALSE)*'DGNB LCA Results'!$J$3,
IF('DGNB LCA Results'!$P$4=2,VLOOKUP(CONCATENATE('DGNB LCA Results'!$M$3,"_",Q369), $A$2:$P$352,8,FALSE)*'DGNB LCA Results'!$N$3+
                                                                 VLOOKUP(CONCATENATE('DGNB LCA Results'!$K$3,"_",Q369),$A$2:$P$352,8,FALSE)*'DGNB LCA Results'!$L$3,
IF('DGNB LCA Results'!$P$4=1,VLOOKUP(CONCATENATE('DGNB LCA Results'!$M$3,"_",Q369), $A$2:$P$352,8,FALSE)*'DGNB LCA Results'!$N$3,0))))</f>
        <v>0</v>
      </c>
      <c r="I369" s="47">
        <f>IF('DGNB LCA Results'!$P$4=4,VLOOKUP(CONCATENATE('DGNB LCA Results'!$M$3,"_",Q369), $A$2:$P$352,9,FALSE)*'DGNB LCA Results'!$N$3+
                                                                  VLOOKUP(CONCATENATE('DGNB LCA Results'!$K$3,"_",Q369), $A$2:$P$352,9,FALSE)*'DGNB LCA Results'!$L$3+
                                                                  VLOOKUP(CONCATENATE('DGNB LCA Results'!$I$3,"_",Q369), $A$2:$P$352,9,FALSE)*'DGNB LCA Results'!$J$3+
                                                                  VLOOKUP(CONCATENATE('DGNB LCA Results'!$G$3,"_",Q369), $A$2:$P$352,9,FALSE)*'DGNB LCA Results'!$H$3,
IF('DGNB LCA Results'!$P$4=3,VLOOKUP(CONCATENATE('DGNB LCA Results'!$M$3,"_",Q369), $A$2:$P$352,9,FALSE)*'DGNB LCA Results'!$N$3+
                                                                VLOOKUP(CONCATENATE('DGNB LCA Results'!$K$3,"_",Q369), $A$2:$P$352,9,FALSE)*'DGNB LCA Results'!$L$3+
                                                                VLOOKUP(CONCATENATE('DGNB LCA Results'!$I$3,"_",Q369),$A$2:$P$352,9,FALSE)*'DGNB LCA Results'!$J$3,
IF('DGNB LCA Results'!$P$4=2,VLOOKUP(CONCATENATE('DGNB LCA Results'!$M$3,"_",Q369), $A$2:$P$352,9,FALSE)*'DGNB LCA Results'!$N$3+
                                                                 VLOOKUP(CONCATENATE('DGNB LCA Results'!$K$3,"_",Q369),$A$2:$P$352,9,FALSE)*'DGNB LCA Results'!$L$3,
IF('DGNB LCA Results'!$P$4=1,VLOOKUP(CONCATENATE('DGNB LCA Results'!$M$3,"_",Q369), $A$2:$P$352,9,FALSE)*'DGNB LCA Results'!$N$3,0))))</f>
        <v>0</v>
      </c>
      <c r="J369" s="121">
        <f>IF('DGNB LCA Results'!$P$4=4,VLOOKUP(CONCATENATE('DGNB LCA Results'!$M$3,"_",Q369), $A$2:$P$352,10,FALSE)*'DGNB LCA Results'!$N$3+
                                                                  VLOOKUP(CONCATENATE('DGNB LCA Results'!$K$3,"_",Q369), $A$2:$P$352,10,FALSE)*'DGNB LCA Results'!$L$3+
                                                                  VLOOKUP(CONCATENATE('DGNB LCA Results'!$I$3,"_",Q369), $A$2:$P$352,10,FALSE)*'DGNB LCA Results'!$J$3+
                                                                  VLOOKUP(CONCATENATE('DGNB LCA Results'!$G$3,"_",Q369), $A$2:$P$352,10,FALSE)*'DGNB LCA Results'!$H$3,
IF('DGNB LCA Results'!$P$4=3,VLOOKUP(CONCATENATE('DGNB LCA Results'!$M$3,"_",Q369), $A$2:$P$352,10,FALSE)*'DGNB LCA Results'!$N$3+
                                                                VLOOKUP(CONCATENATE('DGNB LCA Results'!$K$3,"_",Q369), $A$2:$P$352,10,FALSE)*'DGNB LCA Results'!$L$3+
                                                                VLOOKUP(CONCATENATE('DGNB LCA Results'!$I$3,"_",Q369),$A$2:$P$352,10,FALSE)*'DGNB LCA Results'!$J$3,
IF('DGNB LCA Results'!$P$4=2,VLOOKUP(CONCATENATE('DGNB LCA Results'!$M$3,"_",Q369), $A$2:$P$352,10,FALSE)*'DGNB LCA Results'!$N$3+
                                                                 VLOOKUP(CONCATENATE('DGNB LCA Results'!$K$3,"_",Q369),$A$2:$P$352,10,FALSE)*'DGNB LCA Results'!$L$3,
IF('DGNB LCA Results'!$P$4=1,VLOOKUP(CONCATENATE('DGNB LCA Results'!$M$3,"_",Q369), $A$2:$P$352,10,FALSE)*'DGNB LCA Results'!$N$3,0))))</f>
        <v>0</v>
      </c>
      <c r="K369" s="120">
        <f>IF('DGNB LCA Results'!$P$4=4,VLOOKUP(CONCATENATE('DGNB LCA Results'!$M$3,"_",Q369), $A$2:$P$352,11,FALSE)*'DGNB LCA Results'!$N$3+
                                                                  VLOOKUP(CONCATENATE('DGNB LCA Results'!$K$3,"_",Q369), $A$2:$P$352,11,FALSE)*'DGNB LCA Results'!$L$3+
                                                                  VLOOKUP(CONCATENATE('DGNB LCA Results'!$I$3,"_",Q369), $A$2:$P$352,11,FALSE)*'DGNB LCA Results'!$J$3+
                                                                  VLOOKUP(CONCATENATE('DGNB LCA Results'!$G$3,"_",Q369), $A$2:$P$352,11,FALSE)*'DGNB LCA Results'!$H$3,
IF('DGNB LCA Results'!$P$4=3,VLOOKUP(CONCATENATE('DGNB LCA Results'!$M$3,"_",Q369), $A$2:$P$352,11,FALSE)*'DGNB LCA Results'!$N$3+
                                                                VLOOKUP(CONCATENATE('DGNB LCA Results'!$K$3,"_",Q369), $A$2:$P$352,11,FALSE)*'DGNB LCA Results'!$L$3+
                                                                VLOOKUP(CONCATENATE('DGNB LCA Results'!$I$3,"_",Q369),$A$2:$P$352,11,FALSE)*'DGNB LCA Results'!$J$3,
IF('DGNB LCA Results'!$P$4=2,VLOOKUP(CONCATENATE('DGNB LCA Results'!$M$3,"_",Q369), $A$2:$P$352,11,FALSE)*'DGNB LCA Results'!$N$3+
                                                                 VLOOKUP(CONCATENATE('DGNB LCA Results'!$K$3,"_",Q369),$A$2:$P$352,11,FALSE)*'DGNB LCA Results'!$L$3,
IF('DGNB LCA Results'!$P$4=1,VLOOKUP(CONCATENATE('DGNB LCA Results'!$M$3,"_",Q369), $A$2:$P$352,11,FALSE)*'DGNB LCA Results'!$N$3,0))))</f>
        <v>0</v>
      </c>
      <c r="L369" s="47">
        <f>IF('DGNB LCA Results'!$P$4=4,VLOOKUP(CONCATENATE('DGNB LCA Results'!$M$3,"_",Q369), $A$2:$P$352,12,FALSE)*'DGNB LCA Results'!$N$3+
                                                                  VLOOKUP(CONCATENATE('DGNB LCA Results'!$K$3,"_",Q369), $A$2:$P$352,12,FALSE)*'DGNB LCA Results'!$L$3+
                                                                  VLOOKUP(CONCATENATE('DGNB LCA Results'!$I$3,"_",Q369), $A$2:$P$352,12,FALSE)*'DGNB LCA Results'!$J$3+
                                                                  VLOOKUP(CONCATENATE('DGNB LCA Results'!$G$3,"_",Q369), $A$2:$P$352,12,FALSE)*'DGNB LCA Results'!$H$3,
IF('DGNB LCA Results'!$P$4=3,VLOOKUP(CONCATENATE('DGNB LCA Results'!$M$3,"_",Q369), $A$2:$P$352,12,FALSE)*'DGNB LCA Results'!$N$3+
                                                                VLOOKUP(CONCATENATE('DGNB LCA Results'!$K$3,"_",Q369), $A$2:$P$352,12,FALSE)*'DGNB LCA Results'!$L$3+
                                                                VLOOKUP(CONCATENATE('DGNB LCA Results'!$I$3,"_",Q369),$A$2:$P$352,12,FALSE)*'DGNB LCA Results'!$J$3,
IF('DGNB LCA Results'!$P$4=2,VLOOKUP(CONCATENATE('DGNB LCA Results'!$M$3,"_",Q369), $A$2:$P$352,12,FALSE)*'DGNB LCA Results'!$N$3+
                                                                 VLOOKUP(CONCATENATE('DGNB LCA Results'!$K$3,"_",Q369),$A$2:$P$352,12,FALSE)*'DGNB LCA Results'!$L$3,
IF('DGNB LCA Results'!$P$4=1,VLOOKUP(CONCATENATE('DGNB LCA Results'!$M$3,"_",Q369), $A$2:$P$352,12,FALSE)*'DGNB LCA Results'!$N$3,0))))</f>
        <v>0</v>
      </c>
      <c r="M369" s="121">
        <f>IF('DGNB LCA Results'!$P$4=4,VLOOKUP(CONCATENATE('DGNB LCA Results'!$M$3,"_",Q369), $A$2:$P$352,13,FALSE)*'DGNB LCA Results'!$N$3+
                                                                  VLOOKUP(CONCATENATE('DGNB LCA Results'!$K$3,"_",Q369), $A$2:$P$352,13,FALSE)*'DGNB LCA Results'!$L$3+
                                                                  VLOOKUP(CONCATENATE('DGNB LCA Results'!$I$3,"_",Q369), $A$2:$P$352,13,FALSE)*'DGNB LCA Results'!$J$3+
                                                                  VLOOKUP(CONCATENATE('DGNB LCA Results'!$G$3,"_",Q369), $A$2:$P$352,13,FALSE)*'DGNB LCA Results'!$H$3,
IF('DGNB LCA Results'!$P$4=3,VLOOKUP(CONCATENATE('DGNB LCA Results'!$M$3,"_",Q369), $A$2:$P$352,13,FALSE)*'DGNB LCA Results'!$N$3+
                                                                VLOOKUP(CONCATENATE('DGNB LCA Results'!$K$3,"_",Q369), $A$2:$P$352,13,FALSE)*'DGNB LCA Results'!$L$3+
                                                                VLOOKUP(CONCATENATE('DGNB LCA Results'!$I$3,"_",Q369),$A$2:$P$352,13,FALSE)*'DGNB LCA Results'!$J$3,
IF('DGNB LCA Results'!$P$4=2,VLOOKUP(CONCATENATE('DGNB LCA Results'!$M$3,"_",Q369), $A$2:$P$352,13,FALSE)*'DGNB LCA Results'!$N$3+
                                                                 VLOOKUP(CONCATENATE('DGNB LCA Results'!$K$3,"_",Q369),$A$2:$P$352,13,FALSE)*'DGNB LCA Results'!$L$3,
IF('DGNB LCA Results'!$P$4=1,VLOOKUP(CONCATENATE('DGNB LCA Results'!$M$3,"_",Q369), $A$2:$P$352,13,FALSE)*'DGNB LCA Results'!$N$3,0))))</f>
        <v>0</v>
      </c>
      <c r="N369" s="120">
        <f>IF('DGNB LCA Results'!$P$4=4,VLOOKUP(CONCATENATE('DGNB LCA Results'!$M$3,"_",Q369), $A$2:$P$352,14,FALSE)*'DGNB LCA Results'!$N$3+
                                                                  VLOOKUP(CONCATENATE('DGNB LCA Results'!$K$3,"_",Q369), $A$2:$P$352,14,FALSE)*'DGNB LCA Results'!$L$3+
                                                                  VLOOKUP(CONCATENATE('DGNB LCA Results'!$I$3,"_",Q369), $A$2:$P$352,14,FALSE)*'DGNB LCA Results'!$J$3+
                                                                  VLOOKUP(CONCATENATE('DGNB LCA Results'!$G$3,"_",Q369), $A$2:$P$352,14,FALSE)*'DGNB LCA Results'!$H$3,
IF('DGNB LCA Results'!$P$4=3,VLOOKUP(CONCATENATE('DGNB LCA Results'!$M$3,"_",Q369), $A$2:$P$352,14,FALSE)*'DGNB LCA Results'!$N$3+
                                                                VLOOKUP(CONCATENATE('DGNB LCA Results'!$K$3,"_",Q369), $A$2:$P$352,14,FALSE)*'DGNB LCA Results'!$L$3+
                                                                VLOOKUP(CONCATENATE('DGNB LCA Results'!$I$3,"_",Q369),$A$2:$P$352,14,FALSE)*'DGNB LCA Results'!$J$3,
IF('DGNB LCA Results'!$P$4=2,VLOOKUP(CONCATENATE('DGNB LCA Results'!$M$3,"_",Q369), $A$2:$P$352,14,FALSE)*'DGNB LCA Results'!$N$3+
                                                                 VLOOKUP(CONCATENATE('DGNB LCA Results'!$K$3,"_",Q369),$A$2:$P$352,14,FALSE)*'DGNB LCA Results'!$L$3,
IF('DGNB LCA Results'!$P$4=1,VLOOKUP(CONCATENATE('DGNB LCA Results'!$M$3,"_",Q369), $A$2:$P$352,14,FALSE)*'DGNB LCA Results'!$N$3,0))))</f>
        <v>0</v>
      </c>
      <c r="O369" s="47">
        <f>IF('DGNB LCA Results'!$P$4=4,VLOOKUP(CONCATENATE('DGNB LCA Results'!$M$3,"_",Q369), $A$2:$P$352,15,FALSE)*'DGNB LCA Results'!$N$3+
                                                                  VLOOKUP(CONCATENATE('DGNB LCA Results'!$K$3,"_",Q369), $A$2:$P$352,15,FALSE)*'DGNB LCA Results'!$L$3+
                                                                  VLOOKUP(CONCATENATE('DGNB LCA Results'!$I$3,"_",Q369), $A$2:$P$352,15,FALSE)*'DGNB LCA Results'!$J$3+
                                                                  VLOOKUP(CONCATENATE('DGNB LCA Results'!$G$3,"_",Q369), $A$2:$P$352,15,FALSE)*'DGNB LCA Results'!$H$3,
IF('DGNB LCA Results'!$P$4=3,VLOOKUP(CONCATENATE('DGNB LCA Results'!$M$3,"_",Q369), $A$2:$P$352,15,FALSE)*'DGNB LCA Results'!$N$3+
                                                                VLOOKUP(CONCATENATE('DGNB LCA Results'!$K$3,"_",Q369), $A$2:$P$352,15,FALSE)*'DGNB LCA Results'!$L$3+
                                                                VLOOKUP(CONCATENATE('DGNB LCA Results'!$I$3,"_",Q369),$A$2:$P$352,15,FALSE)*'DGNB LCA Results'!$J$3,
IF('DGNB LCA Results'!$P$4=2,VLOOKUP(CONCATENATE('DGNB LCA Results'!$M$3,"_",Q369), $A$2:$P$352,15,FALSE)*'DGNB LCA Results'!$N$3+
                                                                 VLOOKUP(CONCATENATE('DGNB LCA Results'!$K$3,"_",Q369),$A$2:$P$352,15,FALSE)*'DGNB LCA Results'!$L$3,
IF('DGNB LCA Results'!$P$4=1,VLOOKUP(CONCATENATE('DGNB LCA Results'!$M$3,"_",Q369), $A$2:$P$352,15,FALSE)*'DGNB LCA Results'!$N$3,0))))</f>
        <v>0</v>
      </c>
      <c r="P369" s="121">
        <f>IF('DGNB LCA Results'!$P$4=4,VLOOKUP(CONCATENATE('DGNB LCA Results'!$M$3,"_",Q369), $A$2:$P$352,16,FALSE)*'DGNB LCA Results'!$N$3+
                                                                  VLOOKUP(CONCATENATE('DGNB LCA Results'!$K$3,"_",Q369), $A$2:$P$352,16,FALSE)*'DGNB LCA Results'!$L$3+
                                                                  VLOOKUP(CONCATENATE('DGNB LCA Results'!$I$3,"_",Q369), $A$2:$P$352,16,FALSE)*'DGNB LCA Results'!$J$3+
                                                                  VLOOKUP(CONCATENATE('DGNB LCA Results'!$G$3,"_",Q369), $A$2:$P$352,16,FALSE)*'DGNB LCA Results'!$H$3,
IF('DGNB LCA Results'!$P$4=3,VLOOKUP(CONCATENATE('DGNB LCA Results'!$M$3,"_",Q369), $A$2:$P$352,16,FALSE)*'DGNB LCA Results'!$N$3+
                                                                VLOOKUP(CONCATENATE('DGNB LCA Results'!$K$3,"_",Q369), $A$2:$P$352,16,FALSE)*'DGNB LCA Results'!$L$3+
                                                                VLOOKUP(CONCATENATE('DGNB LCA Results'!$I$3,"_",Q369),$A$2:$P$352,16,FALSE)*'DGNB LCA Results'!$J$3,
IF('DGNB LCA Results'!$P$4=2,VLOOKUP(CONCATENATE('DGNB LCA Results'!$M$3,"_",Q369), $A$2:$P$352,16,FALSE)*'DGNB LCA Results'!$N$3+
                                                                 VLOOKUP(CONCATENATE('DGNB LCA Results'!$K$3,"_",Q369),$A$2:$P$352,16,FALSE)*'DGNB LCA Results'!$L$3,
IF('DGNB LCA Results'!$P$4=1,VLOOKUP(CONCATENATE('DGNB LCA Results'!$M$3,"_",Q369), $A$2:$P$352,16,FALSE)*'DGNB LCA Results'!$N$3,0))))</f>
        <v>0</v>
      </c>
      <c r="Q369">
        <v>50</v>
      </c>
      <c r="R369" t="s">
        <v>193</v>
      </c>
    </row>
    <row r="370" spans="1:18" x14ac:dyDescent="0.2">
      <c r="A370" t="str">
        <f t="shared" si="7"/>
        <v>MIX12_60</v>
      </c>
      <c r="B370" s="120">
        <f>IF('DGNB LCA Results'!$P$4=4,VLOOKUP(CONCATENATE('DGNB LCA Results'!$M$3,"_",Q370), $A$2:$P$352,2,FALSE)*'DGNB LCA Results'!$N$3+
                                                                  VLOOKUP(CONCATENATE('DGNB LCA Results'!$K$3,"_",Q370), $A$2:$P$352,2,FALSE)*'DGNB LCA Results'!$L$3+
                                                                  VLOOKUP(CONCATENATE('DGNB LCA Results'!$I$3,"_",Q370), $A$2:$P$352,2,FALSE)*'DGNB LCA Results'!$J$3+
                                                                  VLOOKUP(CONCATENATE('DGNB LCA Results'!$G$3,"_",Q370), $A$2:$P$352,2,FALSE)*'DGNB LCA Results'!$H$3,
IF('DGNB LCA Results'!$P$4=3,VLOOKUP(CONCATENATE('DGNB LCA Results'!$M$3,"_",Q370), $A$2:$P$352,2,FALSE)*'DGNB LCA Results'!$N$3+
                                                                VLOOKUP(CONCATENATE('DGNB LCA Results'!$K$3,"_",Q370), $A$2:$P$352,2,FALSE)*'DGNB LCA Results'!$L$3+
                                                                VLOOKUP(CONCATENATE('DGNB LCA Results'!$I$3,"_",Q370),$A$2:$P$352,2,FALSE)*'DGNB LCA Results'!$J$3,
IF('DGNB LCA Results'!$P$4=2,VLOOKUP(CONCATENATE('DGNB LCA Results'!$M$3,"_",Q370), $A$2:$P$352,2,FALSE)*'DGNB LCA Results'!$N$3+
                                                                 VLOOKUP(CONCATENATE('DGNB LCA Results'!$K$3,"_",Q370),$A$2:$P$352,2,FALSE)*'DGNB LCA Results'!$L$3,
IF('DGNB LCA Results'!$P$4=1,VLOOKUP(CONCATENATE('DGNB LCA Results'!$M$3,"_",Q370), $A$2:$P$352,2,FALSE)*'DGNB LCA Results'!$N$3,0))))</f>
        <v>0</v>
      </c>
      <c r="C370" s="49">
        <f>IF('DGNB LCA Results'!$P$4=4,VLOOKUP(CONCATENATE('DGNB LCA Results'!$M$3,"_",Q370), $A$2:$P$352,3,FALSE)*'DGNB LCA Results'!$N$3+
                                                                  VLOOKUP(CONCATENATE('DGNB LCA Results'!$K$3,"_",Q370), $A$2:$P$352,3,FALSE)*'DGNB LCA Results'!$L$3+
                                                                  VLOOKUP(CONCATENATE('DGNB LCA Results'!$I$3,"_",Q370), $A$2:$P$352,3,FALSE)*'DGNB LCA Results'!$J$3+
                                                                  VLOOKUP(CONCATENATE('DGNB LCA Results'!$G$3,"_",Q370), $A$2:$P$352,3,FALSE)*'DGNB LCA Results'!$H$3,
IF('DGNB LCA Results'!$P$4=3,VLOOKUP(CONCATENATE('DGNB LCA Results'!$M$3,"_",Q370), $A$2:$P$352,3,FALSE)*'DGNB LCA Results'!$N$3+
                                                                VLOOKUP(CONCATENATE('DGNB LCA Results'!$K$3,"_",Q370), $A$2:$P$352,3,FALSE)*'DGNB LCA Results'!$L$3+
                                                                VLOOKUP(CONCATENATE('DGNB LCA Results'!$I$3,"_",Q370),$A$2:$P$352,3,FALSE)*'DGNB LCA Results'!$J$3,
IF('DGNB LCA Results'!$P$4=2,VLOOKUP(CONCATENATE('DGNB LCA Results'!$M$3,"_",Q370), $A$2:$P$352,3,FALSE)*'DGNB LCA Results'!$N$3+
                                                                 VLOOKUP(CONCATENATE('DGNB LCA Results'!$K$3,"_",Q370),$A$2:$P$352,3,FALSE)*'DGNB LCA Results'!$L$3,
IF('DGNB LCA Results'!$P$4=1,VLOOKUP(CONCATENATE('DGNB LCA Results'!$M$3,"_",Q370), $A$2:$P$352,3,FALSE)*'DGNB LCA Results'!$N$3,0))))</f>
        <v>0</v>
      </c>
      <c r="D370" s="49">
        <f>IF('DGNB LCA Results'!$P$4=4,VLOOKUP(CONCATENATE('DGNB LCA Results'!$M$3,"_",Q370), $A$2:$P$352,4,FALSE)*'DGNB LCA Results'!$N$3+
                                                                  VLOOKUP(CONCATENATE('DGNB LCA Results'!$K$3,"_",Q370), $A$2:$P$352,4,FALSE)*'DGNB LCA Results'!$L$3+
                                                                  VLOOKUP(CONCATENATE('DGNB LCA Results'!$I$3,"_",Q370), $A$2:$P$352,4,FALSE)*'DGNB LCA Results'!$J$3+
                                                                  VLOOKUP(CONCATENATE('DGNB LCA Results'!$G$3,"_",Q370), $A$2:$P$352,4,FALSE)*'DGNB LCA Results'!$H$3,
IF('DGNB LCA Results'!$P$4=3,VLOOKUP(CONCATENATE('DGNB LCA Results'!$M$3,"_",Q370), $A$2:$P$352,4,FALSE)*'DGNB LCA Results'!$N$3+
                                                                VLOOKUP(CONCATENATE('DGNB LCA Results'!$K$3,"_",Q370), $A$2:$P$352,4,FALSE)*'DGNB LCA Results'!$L$3+
                                                                VLOOKUP(CONCATENATE('DGNB LCA Results'!$I$3,"_",Q370),$A$2:$P$352,4,FALSE)*'DGNB LCA Results'!$J$3,
IF('DGNB LCA Results'!$P$4=2,VLOOKUP(CONCATENATE('DGNB LCA Results'!$M$3,"_",Q370), $A$2:$P$352,4,FALSE)*'DGNB LCA Results'!$N$3+
                                                                 VLOOKUP(CONCATENATE('DGNB LCA Results'!$K$3,"_",Q370),$A$2:$P$352,4,FALSE)*'DGNB LCA Results'!$L$3,
IF('DGNB LCA Results'!$P$4=1,VLOOKUP(CONCATENATE('DGNB LCA Results'!$M$3,"_",Q370), $A$2:$P$352,4,FALSE)*'DGNB LCA Results'!$N$3,0))))</f>
        <v>0</v>
      </c>
      <c r="E370" s="120">
        <f>IF('DGNB LCA Results'!$P$4=4,VLOOKUP(CONCATENATE('DGNB LCA Results'!$M$3,"_",Q370), $A$2:$P$352,5,FALSE)*'DGNB LCA Results'!$N$3+
                                                                  VLOOKUP(CONCATENATE('DGNB LCA Results'!$K$3,"_",Q370), $A$2:$P$352,5,FALSE)*'DGNB LCA Results'!$L$3+
                                                                  VLOOKUP(CONCATENATE('DGNB LCA Results'!$I$3,"_",Q370), $A$2:$P$352,5,FALSE)*'DGNB LCA Results'!$J$3+
                                                                  VLOOKUP(CONCATENATE('DGNB LCA Results'!$G$3,"_",Q370), $A$2:$P$352,5,FALSE)*'DGNB LCA Results'!$H$3,
IF('DGNB LCA Results'!$P$4=3,VLOOKUP(CONCATENATE('DGNB LCA Results'!$M$3,"_",Q370), $A$2:$P$352,5,FALSE)*'DGNB LCA Results'!$N$3+
                                                                VLOOKUP(CONCATENATE('DGNB LCA Results'!$K$3,"_",Q370), $A$2:$P$352,5,FALSE)*'DGNB LCA Results'!$L$3+
                                                                VLOOKUP(CONCATENATE('DGNB LCA Results'!$I$3,"_",Q370),$A$2:$P$352,5,FALSE)*'DGNB LCA Results'!$J$3,
IF('DGNB LCA Results'!$P$4=2,VLOOKUP(CONCATENATE('DGNB LCA Results'!$M$3,"_",Q370), $A$2:$P$352,5,FALSE)*'DGNB LCA Results'!$N$3+
                                                                 VLOOKUP(CONCATENATE('DGNB LCA Results'!$K$3,"_",Q370),$A$2:$P$352,5,FALSE)*'DGNB LCA Results'!$L$3,
IF('DGNB LCA Results'!$P$4=1,VLOOKUP(CONCATENATE('DGNB LCA Results'!$M$3,"_",Q370), $A$2:$P$352,5,FALSE)*'DGNB LCA Results'!$N$3,0))))</f>
        <v>0</v>
      </c>
      <c r="F370" s="47">
        <f>IF('DGNB LCA Results'!$P$4=4,VLOOKUP(CONCATENATE('DGNB LCA Results'!$M$3,"_",Q370), $A$2:$P$352,6,FALSE)*'DGNB LCA Results'!$N$3+
                                                                  VLOOKUP(CONCATENATE('DGNB LCA Results'!$K$3,"_",Q370), $A$2:$P$352,6,FALSE)*'DGNB LCA Results'!$L$3+
                                                                  VLOOKUP(CONCATENATE('DGNB LCA Results'!$I$3,"_",Q370), $A$2:$P$352,6,FALSE)*'DGNB LCA Results'!$J$3+
                                                                  VLOOKUP(CONCATENATE('DGNB LCA Results'!$G$3,"_",Q370), $A$2:$P$352,6,FALSE)*'DGNB LCA Results'!$H$3,
IF('DGNB LCA Results'!$P$4=3,VLOOKUP(CONCATENATE('DGNB LCA Results'!$M$3,"_",Q370), $A$2:$P$352,6,FALSE)*'DGNB LCA Results'!$N$3+
                                                                VLOOKUP(CONCATENATE('DGNB LCA Results'!$K$3,"_",Q370), $A$2:$P$352,6,FALSE)*'DGNB LCA Results'!$L$3+
                                                                VLOOKUP(CONCATENATE('DGNB LCA Results'!$I$3,"_",Q370),$A$2:$P$352,6,FALSE)*'DGNB LCA Results'!$J$3,
IF('DGNB LCA Results'!$P$4=2,VLOOKUP(CONCATENATE('DGNB LCA Results'!$M$3,"_",Q370), $A$2:$P$352,6,FALSE)*'DGNB LCA Results'!$N$3+
                                                                 VLOOKUP(CONCATENATE('DGNB LCA Results'!$K$3,"_",Q370),$A$2:$P$352,6,FALSE)*'DGNB LCA Results'!$L$3,
IF('DGNB LCA Results'!$P$4=1,VLOOKUP(CONCATENATE('DGNB LCA Results'!$M$3,"_",Q370), $A$2:$P$352,6,FALSE)*'DGNB LCA Results'!$N$3,0))))</f>
        <v>0</v>
      </c>
      <c r="G370" s="121">
        <f>IF('DGNB LCA Results'!$P$4=4,VLOOKUP(CONCATENATE('DGNB LCA Results'!$M$3,"_",Q370), $A$2:$P$352,7,FALSE)*'DGNB LCA Results'!$N$3+
                                                                  VLOOKUP(CONCATENATE('DGNB LCA Results'!$K$3,"_",Q370), $A$2:$P$352,7,FALSE)*'DGNB LCA Results'!$L$3+
                                                                  VLOOKUP(CONCATENATE('DGNB LCA Results'!$I$3,"_",Q370), $A$2:$P$352,7,FALSE)*'DGNB LCA Results'!$J$3+
                                                                  VLOOKUP(CONCATENATE('DGNB LCA Results'!$G$3,"_",Q370), $A$2:$P$352,7,FALSE)*'DGNB LCA Results'!$H$3,
IF('DGNB LCA Results'!$P$4=3,VLOOKUP(CONCATENATE('DGNB LCA Results'!$M$3,"_",Q370), $A$2:$P$352,7,FALSE)*'DGNB LCA Results'!$N$3+
                                                                VLOOKUP(CONCATENATE('DGNB LCA Results'!$K$3,"_",Q370), $A$2:$P$352,7,FALSE)*'DGNB LCA Results'!$L$3+
                                                                VLOOKUP(CONCATENATE('DGNB LCA Results'!$I$3,"_",Q370),$A$2:$P$352,7,FALSE)*'DGNB LCA Results'!$J$3,
IF('DGNB LCA Results'!$P$4=2,VLOOKUP(CONCATENATE('DGNB LCA Results'!$M$3,"_",Q370), $A$2:$P$352,7,FALSE)*'DGNB LCA Results'!$N$3+
                                                                 VLOOKUP(CONCATENATE('DGNB LCA Results'!$K$3,"_",Q370),$A$2:$P$352,7,FALSE)*'DGNB LCA Results'!$L$3,
IF('DGNB LCA Results'!$P$4=1,VLOOKUP(CONCATENATE('DGNB LCA Results'!$M$3,"_",Q370), $A$2:$P$352,7,FALSE)*'DGNB LCA Results'!$N$3,0))))</f>
        <v>0</v>
      </c>
      <c r="H370" s="120">
        <f>IF('DGNB LCA Results'!$P$4=4,VLOOKUP(CONCATENATE('DGNB LCA Results'!$M$3,"_",Q370), $A$2:$P$352,8,FALSE)*'DGNB LCA Results'!$N$3+
                                                                  VLOOKUP(CONCATENATE('DGNB LCA Results'!$K$3,"_",Q370), $A$2:$P$352,8,FALSE)*'DGNB LCA Results'!$L$3+
                                                                  VLOOKUP(CONCATENATE('DGNB LCA Results'!$I$3,"_",Q370), $A$2:$P$352,8,FALSE)*'DGNB LCA Results'!$J$3+
                                                                  VLOOKUP(CONCATENATE('DGNB LCA Results'!$G$3,"_",Q370), $A$2:$P$352,8,FALSE)*'DGNB LCA Results'!$H$3,
IF('DGNB LCA Results'!$P$4=3,VLOOKUP(CONCATENATE('DGNB LCA Results'!$M$3,"_",Q370), $A$2:$P$352,8,FALSE)*'DGNB LCA Results'!$N$3+
                                                                VLOOKUP(CONCATENATE('DGNB LCA Results'!$K$3,"_",Q370), $A$2:$P$352,8,FALSE)*'DGNB LCA Results'!$L$3+
                                                                VLOOKUP(CONCATENATE('DGNB LCA Results'!$I$3,"_",Q370),$A$2:$P$352,8,FALSE)*'DGNB LCA Results'!$J$3,
IF('DGNB LCA Results'!$P$4=2,VLOOKUP(CONCATENATE('DGNB LCA Results'!$M$3,"_",Q370), $A$2:$P$352,8,FALSE)*'DGNB LCA Results'!$N$3+
                                                                 VLOOKUP(CONCATENATE('DGNB LCA Results'!$K$3,"_",Q370),$A$2:$P$352,8,FALSE)*'DGNB LCA Results'!$L$3,
IF('DGNB LCA Results'!$P$4=1,VLOOKUP(CONCATENATE('DGNB LCA Results'!$M$3,"_",Q370), $A$2:$P$352,8,FALSE)*'DGNB LCA Results'!$N$3,0))))</f>
        <v>0</v>
      </c>
      <c r="I370" s="47">
        <f>IF('DGNB LCA Results'!$P$4=4,VLOOKUP(CONCATENATE('DGNB LCA Results'!$M$3,"_",Q370), $A$2:$P$352,9,FALSE)*'DGNB LCA Results'!$N$3+
                                                                  VLOOKUP(CONCATENATE('DGNB LCA Results'!$K$3,"_",Q370), $A$2:$P$352,9,FALSE)*'DGNB LCA Results'!$L$3+
                                                                  VLOOKUP(CONCATENATE('DGNB LCA Results'!$I$3,"_",Q370), $A$2:$P$352,9,FALSE)*'DGNB LCA Results'!$J$3+
                                                                  VLOOKUP(CONCATENATE('DGNB LCA Results'!$G$3,"_",Q370), $A$2:$P$352,9,FALSE)*'DGNB LCA Results'!$H$3,
IF('DGNB LCA Results'!$P$4=3,VLOOKUP(CONCATENATE('DGNB LCA Results'!$M$3,"_",Q370), $A$2:$P$352,9,FALSE)*'DGNB LCA Results'!$N$3+
                                                                VLOOKUP(CONCATENATE('DGNB LCA Results'!$K$3,"_",Q370), $A$2:$P$352,9,FALSE)*'DGNB LCA Results'!$L$3+
                                                                VLOOKUP(CONCATENATE('DGNB LCA Results'!$I$3,"_",Q370),$A$2:$P$352,9,FALSE)*'DGNB LCA Results'!$J$3,
IF('DGNB LCA Results'!$P$4=2,VLOOKUP(CONCATENATE('DGNB LCA Results'!$M$3,"_",Q370), $A$2:$P$352,9,FALSE)*'DGNB LCA Results'!$N$3+
                                                                 VLOOKUP(CONCATENATE('DGNB LCA Results'!$K$3,"_",Q370),$A$2:$P$352,9,FALSE)*'DGNB LCA Results'!$L$3,
IF('DGNB LCA Results'!$P$4=1,VLOOKUP(CONCATENATE('DGNB LCA Results'!$M$3,"_",Q370), $A$2:$P$352,9,FALSE)*'DGNB LCA Results'!$N$3,0))))</f>
        <v>0</v>
      </c>
      <c r="J370" s="121">
        <f>IF('DGNB LCA Results'!$P$4=4,VLOOKUP(CONCATENATE('DGNB LCA Results'!$M$3,"_",Q370), $A$2:$P$352,10,FALSE)*'DGNB LCA Results'!$N$3+
                                                                  VLOOKUP(CONCATENATE('DGNB LCA Results'!$K$3,"_",Q370), $A$2:$P$352,10,FALSE)*'DGNB LCA Results'!$L$3+
                                                                  VLOOKUP(CONCATENATE('DGNB LCA Results'!$I$3,"_",Q370), $A$2:$P$352,10,FALSE)*'DGNB LCA Results'!$J$3+
                                                                  VLOOKUP(CONCATENATE('DGNB LCA Results'!$G$3,"_",Q370), $A$2:$P$352,10,FALSE)*'DGNB LCA Results'!$H$3,
IF('DGNB LCA Results'!$P$4=3,VLOOKUP(CONCATENATE('DGNB LCA Results'!$M$3,"_",Q370), $A$2:$P$352,10,FALSE)*'DGNB LCA Results'!$N$3+
                                                                VLOOKUP(CONCATENATE('DGNB LCA Results'!$K$3,"_",Q370), $A$2:$P$352,10,FALSE)*'DGNB LCA Results'!$L$3+
                                                                VLOOKUP(CONCATENATE('DGNB LCA Results'!$I$3,"_",Q370),$A$2:$P$352,10,FALSE)*'DGNB LCA Results'!$J$3,
IF('DGNB LCA Results'!$P$4=2,VLOOKUP(CONCATENATE('DGNB LCA Results'!$M$3,"_",Q370), $A$2:$P$352,10,FALSE)*'DGNB LCA Results'!$N$3+
                                                                 VLOOKUP(CONCATENATE('DGNB LCA Results'!$K$3,"_",Q370),$A$2:$P$352,10,FALSE)*'DGNB LCA Results'!$L$3,
IF('DGNB LCA Results'!$P$4=1,VLOOKUP(CONCATENATE('DGNB LCA Results'!$M$3,"_",Q370), $A$2:$P$352,10,FALSE)*'DGNB LCA Results'!$N$3,0))))</f>
        <v>0</v>
      </c>
      <c r="K370" s="120">
        <f>IF('DGNB LCA Results'!$P$4=4,VLOOKUP(CONCATENATE('DGNB LCA Results'!$M$3,"_",Q370), $A$2:$P$352,11,FALSE)*'DGNB LCA Results'!$N$3+
                                                                  VLOOKUP(CONCATENATE('DGNB LCA Results'!$K$3,"_",Q370), $A$2:$P$352,11,FALSE)*'DGNB LCA Results'!$L$3+
                                                                  VLOOKUP(CONCATENATE('DGNB LCA Results'!$I$3,"_",Q370), $A$2:$P$352,11,FALSE)*'DGNB LCA Results'!$J$3+
                                                                  VLOOKUP(CONCATENATE('DGNB LCA Results'!$G$3,"_",Q370), $A$2:$P$352,11,FALSE)*'DGNB LCA Results'!$H$3,
IF('DGNB LCA Results'!$P$4=3,VLOOKUP(CONCATENATE('DGNB LCA Results'!$M$3,"_",Q370), $A$2:$P$352,11,FALSE)*'DGNB LCA Results'!$N$3+
                                                                VLOOKUP(CONCATENATE('DGNB LCA Results'!$K$3,"_",Q370), $A$2:$P$352,11,FALSE)*'DGNB LCA Results'!$L$3+
                                                                VLOOKUP(CONCATENATE('DGNB LCA Results'!$I$3,"_",Q370),$A$2:$P$352,11,FALSE)*'DGNB LCA Results'!$J$3,
IF('DGNB LCA Results'!$P$4=2,VLOOKUP(CONCATENATE('DGNB LCA Results'!$M$3,"_",Q370), $A$2:$P$352,11,FALSE)*'DGNB LCA Results'!$N$3+
                                                                 VLOOKUP(CONCATENATE('DGNB LCA Results'!$K$3,"_",Q370),$A$2:$P$352,11,FALSE)*'DGNB LCA Results'!$L$3,
IF('DGNB LCA Results'!$P$4=1,VLOOKUP(CONCATENATE('DGNB LCA Results'!$M$3,"_",Q370), $A$2:$P$352,11,FALSE)*'DGNB LCA Results'!$N$3,0))))</f>
        <v>0</v>
      </c>
      <c r="L370" s="47">
        <f>IF('DGNB LCA Results'!$P$4=4,VLOOKUP(CONCATENATE('DGNB LCA Results'!$M$3,"_",Q370), $A$2:$P$352,12,FALSE)*'DGNB LCA Results'!$N$3+
                                                                  VLOOKUP(CONCATENATE('DGNB LCA Results'!$K$3,"_",Q370), $A$2:$P$352,12,FALSE)*'DGNB LCA Results'!$L$3+
                                                                  VLOOKUP(CONCATENATE('DGNB LCA Results'!$I$3,"_",Q370), $A$2:$P$352,12,FALSE)*'DGNB LCA Results'!$J$3+
                                                                  VLOOKUP(CONCATENATE('DGNB LCA Results'!$G$3,"_",Q370), $A$2:$P$352,12,FALSE)*'DGNB LCA Results'!$H$3,
IF('DGNB LCA Results'!$P$4=3,VLOOKUP(CONCATENATE('DGNB LCA Results'!$M$3,"_",Q370), $A$2:$P$352,12,FALSE)*'DGNB LCA Results'!$N$3+
                                                                VLOOKUP(CONCATENATE('DGNB LCA Results'!$K$3,"_",Q370), $A$2:$P$352,12,FALSE)*'DGNB LCA Results'!$L$3+
                                                                VLOOKUP(CONCATENATE('DGNB LCA Results'!$I$3,"_",Q370),$A$2:$P$352,12,FALSE)*'DGNB LCA Results'!$J$3,
IF('DGNB LCA Results'!$P$4=2,VLOOKUP(CONCATENATE('DGNB LCA Results'!$M$3,"_",Q370), $A$2:$P$352,12,FALSE)*'DGNB LCA Results'!$N$3+
                                                                 VLOOKUP(CONCATENATE('DGNB LCA Results'!$K$3,"_",Q370),$A$2:$P$352,12,FALSE)*'DGNB LCA Results'!$L$3,
IF('DGNB LCA Results'!$P$4=1,VLOOKUP(CONCATENATE('DGNB LCA Results'!$M$3,"_",Q370), $A$2:$P$352,12,FALSE)*'DGNB LCA Results'!$N$3,0))))</f>
        <v>0</v>
      </c>
      <c r="M370" s="121">
        <f>IF('DGNB LCA Results'!$P$4=4,VLOOKUP(CONCATENATE('DGNB LCA Results'!$M$3,"_",Q370), $A$2:$P$352,13,FALSE)*'DGNB LCA Results'!$N$3+
                                                                  VLOOKUP(CONCATENATE('DGNB LCA Results'!$K$3,"_",Q370), $A$2:$P$352,13,FALSE)*'DGNB LCA Results'!$L$3+
                                                                  VLOOKUP(CONCATENATE('DGNB LCA Results'!$I$3,"_",Q370), $A$2:$P$352,13,FALSE)*'DGNB LCA Results'!$J$3+
                                                                  VLOOKUP(CONCATENATE('DGNB LCA Results'!$G$3,"_",Q370), $A$2:$P$352,13,FALSE)*'DGNB LCA Results'!$H$3,
IF('DGNB LCA Results'!$P$4=3,VLOOKUP(CONCATENATE('DGNB LCA Results'!$M$3,"_",Q370), $A$2:$P$352,13,FALSE)*'DGNB LCA Results'!$N$3+
                                                                VLOOKUP(CONCATENATE('DGNB LCA Results'!$K$3,"_",Q370), $A$2:$P$352,13,FALSE)*'DGNB LCA Results'!$L$3+
                                                                VLOOKUP(CONCATENATE('DGNB LCA Results'!$I$3,"_",Q370),$A$2:$P$352,13,FALSE)*'DGNB LCA Results'!$J$3,
IF('DGNB LCA Results'!$P$4=2,VLOOKUP(CONCATENATE('DGNB LCA Results'!$M$3,"_",Q370), $A$2:$P$352,13,FALSE)*'DGNB LCA Results'!$N$3+
                                                                 VLOOKUP(CONCATENATE('DGNB LCA Results'!$K$3,"_",Q370),$A$2:$P$352,13,FALSE)*'DGNB LCA Results'!$L$3,
IF('DGNB LCA Results'!$P$4=1,VLOOKUP(CONCATENATE('DGNB LCA Results'!$M$3,"_",Q370), $A$2:$P$352,13,FALSE)*'DGNB LCA Results'!$N$3,0))))</f>
        <v>0</v>
      </c>
      <c r="N370" s="120">
        <f>IF('DGNB LCA Results'!$P$4=4,VLOOKUP(CONCATENATE('DGNB LCA Results'!$M$3,"_",Q370), $A$2:$P$352,14,FALSE)*'DGNB LCA Results'!$N$3+
                                                                  VLOOKUP(CONCATENATE('DGNB LCA Results'!$K$3,"_",Q370), $A$2:$P$352,14,FALSE)*'DGNB LCA Results'!$L$3+
                                                                  VLOOKUP(CONCATENATE('DGNB LCA Results'!$I$3,"_",Q370), $A$2:$P$352,14,FALSE)*'DGNB LCA Results'!$J$3+
                                                                  VLOOKUP(CONCATENATE('DGNB LCA Results'!$G$3,"_",Q370), $A$2:$P$352,14,FALSE)*'DGNB LCA Results'!$H$3,
IF('DGNB LCA Results'!$P$4=3,VLOOKUP(CONCATENATE('DGNB LCA Results'!$M$3,"_",Q370), $A$2:$P$352,14,FALSE)*'DGNB LCA Results'!$N$3+
                                                                VLOOKUP(CONCATENATE('DGNB LCA Results'!$K$3,"_",Q370), $A$2:$P$352,14,FALSE)*'DGNB LCA Results'!$L$3+
                                                                VLOOKUP(CONCATENATE('DGNB LCA Results'!$I$3,"_",Q370),$A$2:$P$352,14,FALSE)*'DGNB LCA Results'!$J$3,
IF('DGNB LCA Results'!$P$4=2,VLOOKUP(CONCATENATE('DGNB LCA Results'!$M$3,"_",Q370), $A$2:$P$352,14,FALSE)*'DGNB LCA Results'!$N$3+
                                                                 VLOOKUP(CONCATENATE('DGNB LCA Results'!$K$3,"_",Q370),$A$2:$P$352,14,FALSE)*'DGNB LCA Results'!$L$3,
IF('DGNB LCA Results'!$P$4=1,VLOOKUP(CONCATENATE('DGNB LCA Results'!$M$3,"_",Q370), $A$2:$P$352,14,FALSE)*'DGNB LCA Results'!$N$3,0))))</f>
        <v>0</v>
      </c>
      <c r="O370" s="47">
        <f>IF('DGNB LCA Results'!$P$4=4,VLOOKUP(CONCATENATE('DGNB LCA Results'!$M$3,"_",Q370), $A$2:$P$352,15,FALSE)*'DGNB LCA Results'!$N$3+
                                                                  VLOOKUP(CONCATENATE('DGNB LCA Results'!$K$3,"_",Q370), $A$2:$P$352,15,FALSE)*'DGNB LCA Results'!$L$3+
                                                                  VLOOKUP(CONCATENATE('DGNB LCA Results'!$I$3,"_",Q370), $A$2:$P$352,15,FALSE)*'DGNB LCA Results'!$J$3+
                                                                  VLOOKUP(CONCATENATE('DGNB LCA Results'!$G$3,"_",Q370), $A$2:$P$352,15,FALSE)*'DGNB LCA Results'!$H$3,
IF('DGNB LCA Results'!$P$4=3,VLOOKUP(CONCATENATE('DGNB LCA Results'!$M$3,"_",Q370), $A$2:$P$352,15,FALSE)*'DGNB LCA Results'!$N$3+
                                                                VLOOKUP(CONCATENATE('DGNB LCA Results'!$K$3,"_",Q370), $A$2:$P$352,15,FALSE)*'DGNB LCA Results'!$L$3+
                                                                VLOOKUP(CONCATENATE('DGNB LCA Results'!$I$3,"_",Q370),$A$2:$P$352,15,FALSE)*'DGNB LCA Results'!$J$3,
IF('DGNB LCA Results'!$P$4=2,VLOOKUP(CONCATENATE('DGNB LCA Results'!$M$3,"_",Q370), $A$2:$P$352,15,FALSE)*'DGNB LCA Results'!$N$3+
                                                                 VLOOKUP(CONCATENATE('DGNB LCA Results'!$K$3,"_",Q370),$A$2:$P$352,15,FALSE)*'DGNB LCA Results'!$L$3,
IF('DGNB LCA Results'!$P$4=1,VLOOKUP(CONCATENATE('DGNB LCA Results'!$M$3,"_",Q370), $A$2:$P$352,15,FALSE)*'DGNB LCA Results'!$N$3,0))))</f>
        <v>0</v>
      </c>
      <c r="P370" s="121">
        <f>IF('DGNB LCA Results'!$P$4=4,VLOOKUP(CONCATENATE('DGNB LCA Results'!$M$3,"_",Q370), $A$2:$P$352,16,FALSE)*'DGNB LCA Results'!$N$3+
                                                                  VLOOKUP(CONCATENATE('DGNB LCA Results'!$K$3,"_",Q370), $A$2:$P$352,16,FALSE)*'DGNB LCA Results'!$L$3+
                                                                  VLOOKUP(CONCATENATE('DGNB LCA Results'!$I$3,"_",Q370), $A$2:$P$352,16,FALSE)*'DGNB LCA Results'!$J$3+
                                                                  VLOOKUP(CONCATENATE('DGNB LCA Results'!$G$3,"_",Q370), $A$2:$P$352,16,FALSE)*'DGNB LCA Results'!$H$3,
IF('DGNB LCA Results'!$P$4=3,VLOOKUP(CONCATENATE('DGNB LCA Results'!$M$3,"_",Q370), $A$2:$P$352,16,FALSE)*'DGNB LCA Results'!$N$3+
                                                                VLOOKUP(CONCATENATE('DGNB LCA Results'!$K$3,"_",Q370), $A$2:$P$352,16,FALSE)*'DGNB LCA Results'!$L$3+
                                                                VLOOKUP(CONCATENATE('DGNB LCA Results'!$I$3,"_",Q370),$A$2:$P$352,16,FALSE)*'DGNB LCA Results'!$J$3,
IF('DGNB LCA Results'!$P$4=2,VLOOKUP(CONCATENATE('DGNB LCA Results'!$M$3,"_",Q370), $A$2:$P$352,16,FALSE)*'DGNB LCA Results'!$N$3+
                                                                 VLOOKUP(CONCATENATE('DGNB LCA Results'!$K$3,"_",Q370),$A$2:$P$352,16,FALSE)*'DGNB LCA Results'!$L$3,
IF('DGNB LCA Results'!$P$4=1,VLOOKUP(CONCATENATE('DGNB LCA Results'!$M$3,"_",Q370), $A$2:$P$352,16,FALSE)*'DGNB LCA Results'!$N$3,0))))</f>
        <v>0</v>
      </c>
      <c r="Q370">
        <v>60</v>
      </c>
      <c r="R370" t="s">
        <v>193</v>
      </c>
    </row>
    <row r="371" spans="1:18" x14ac:dyDescent="0.2">
      <c r="A371" t="str">
        <f t="shared" si="7"/>
        <v>MIX12_70</v>
      </c>
      <c r="B371" s="120">
        <f>IF('DGNB LCA Results'!$P$4=4,VLOOKUP(CONCATENATE('DGNB LCA Results'!$M$3,"_",Q371), $A$2:$P$352,2,FALSE)*'DGNB LCA Results'!$N$3+
                                                                  VLOOKUP(CONCATENATE('DGNB LCA Results'!$K$3,"_",Q371), $A$2:$P$352,2,FALSE)*'DGNB LCA Results'!$L$3+
                                                                  VLOOKUP(CONCATENATE('DGNB LCA Results'!$I$3,"_",Q371), $A$2:$P$352,2,FALSE)*'DGNB LCA Results'!$J$3+
                                                                  VLOOKUP(CONCATENATE('DGNB LCA Results'!$G$3,"_",Q371), $A$2:$P$352,2,FALSE)*'DGNB LCA Results'!$H$3,
IF('DGNB LCA Results'!$P$4=3,VLOOKUP(CONCATENATE('DGNB LCA Results'!$M$3,"_",Q371), $A$2:$P$352,2,FALSE)*'DGNB LCA Results'!$N$3+
                                                                VLOOKUP(CONCATENATE('DGNB LCA Results'!$K$3,"_",Q371), $A$2:$P$352,2,FALSE)*'DGNB LCA Results'!$L$3+
                                                                VLOOKUP(CONCATENATE('DGNB LCA Results'!$I$3,"_",Q371),$A$2:$P$352,2,FALSE)*'DGNB LCA Results'!$J$3,
IF('DGNB LCA Results'!$P$4=2,VLOOKUP(CONCATENATE('DGNB LCA Results'!$M$3,"_",Q371), $A$2:$P$352,2,FALSE)*'DGNB LCA Results'!$N$3+
                                                                 VLOOKUP(CONCATENATE('DGNB LCA Results'!$K$3,"_",Q371),$A$2:$P$352,2,FALSE)*'DGNB LCA Results'!$L$3,
IF('DGNB LCA Results'!$P$4=1,VLOOKUP(CONCATENATE('DGNB LCA Results'!$M$3,"_",Q371), $A$2:$P$352,2,FALSE)*'DGNB LCA Results'!$N$3,0))))</f>
        <v>0</v>
      </c>
      <c r="C371" s="49">
        <f>IF('DGNB LCA Results'!$P$4=4,VLOOKUP(CONCATENATE('DGNB LCA Results'!$M$3,"_",Q371), $A$2:$P$352,3,FALSE)*'DGNB LCA Results'!$N$3+
                                                                  VLOOKUP(CONCATENATE('DGNB LCA Results'!$K$3,"_",Q371), $A$2:$P$352,3,FALSE)*'DGNB LCA Results'!$L$3+
                                                                  VLOOKUP(CONCATENATE('DGNB LCA Results'!$I$3,"_",Q371), $A$2:$P$352,3,FALSE)*'DGNB LCA Results'!$J$3+
                                                                  VLOOKUP(CONCATENATE('DGNB LCA Results'!$G$3,"_",Q371), $A$2:$P$352,3,FALSE)*'DGNB LCA Results'!$H$3,
IF('DGNB LCA Results'!$P$4=3,VLOOKUP(CONCATENATE('DGNB LCA Results'!$M$3,"_",Q371), $A$2:$P$352,3,FALSE)*'DGNB LCA Results'!$N$3+
                                                                VLOOKUP(CONCATENATE('DGNB LCA Results'!$K$3,"_",Q371), $A$2:$P$352,3,FALSE)*'DGNB LCA Results'!$L$3+
                                                                VLOOKUP(CONCATENATE('DGNB LCA Results'!$I$3,"_",Q371),$A$2:$P$352,3,FALSE)*'DGNB LCA Results'!$J$3,
IF('DGNB LCA Results'!$P$4=2,VLOOKUP(CONCATENATE('DGNB LCA Results'!$M$3,"_",Q371), $A$2:$P$352,3,FALSE)*'DGNB LCA Results'!$N$3+
                                                                 VLOOKUP(CONCATENATE('DGNB LCA Results'!$K$3,"_",Q371),$A$2:$P$352,3,FALSE)*'DGNB LCA Results'!$L$3,
IF('DGNB LCA Results'!$P$4=1,VLOOKUP(CONCATENATE('DGNB LCA Results'!$M$3,"_",Q371), $A$2:$P$352,3,FALSE)*'DGNB LCA Results'!$N$3,0))))</f>
        <v>0</v>
      </c>
      <c r="D371" s="49">
        <f>IF('DGNB LCA Results'!$P$4=4,VLOOKUP(CONCATENATE('DGNB LCA Results'!$M$3,"_",Q371), $A$2:$P$352,4,FALSE)*'DGNB LCA Results'!$N$3+
                                                                  VLOOKUP(CONCATENATE('DGNB LCA Results'!$K$3,"_",Q371), $A$2:$P$352,4,FALSE)*'DGNB LCA Results'!$L$3+
                                                                  VLOOKUP(CONCATENATE('DGNB LCA Results'!$I$3,"_",Q371), $A$2:$P$352,4,FALSE)*'DGNB LCA Results'!$J$3+
                                                                  VLOOKUP(CONCATENATE('DGNB LCA Results'!$G$3,"_",Q371), $A$2:$P$352,4,FALSE)*'DGNB LCA Results'!$H$3,
IF('DGNB LCA Results'!$P$4=3,VLOOKUP(CONCATENATE('DGNB LCA Results'!$M$3,"_",Q371), $A$2:$P$352,4,FALSE)*'DGNB LCA Results'!$N$3+
                                                                VLOOKUP(CONCATENATE('DGNB LCA Results'!$K$3,"_",Q371), $A$2:$P$352,4,FALSE)*'DGNB LCA Results'!$L$3+
                                                                VLOOKUP(CONCATENATE('DGNB LCA Results'!$I$3,"_",Q371),$A$2:$P$352,4,FALSE)*'DGNB LCA Results'!$J$3,
IF('DGNB LCA Results'!$P$4=2,VLOOKUP(CONCATENATE('DGNB LCA Results'!$M$3,"_",Q371), $A$2:$P$352,4,FALSE)*'DGNB LCA Results'!$N$3+
                                                                 VLOOKUP(CONCATENATE('DGNB LCA Results'!$K$3,"_",Q371),$A$2:$P$352,4,FALSE)*'DGNB LCA Results'!$L$3,
IF('DGNB LCA Results'!$P$4=1,VLOOKUP(CONCATENATE('DGNB LCA Results'!$M$3,"_",Q371), $A$2:$P$352,4,FALSE)*'DGNB LCA Results'!$N$3,0))))</f>
        <v>0</v>
      </c>
      <c r="E371" s="120">
        <f>IF('DGNB LCA Results'!$P$4=4,VLOOKUP(CONCATENATE('DGNB LCA Results'!$M$3,"_",Q371), $A$2:$P$352,5,FALSE)*'DGNB LCA Results'!$N$3+
                                                                  VLOOKUP(CONCATENATE('DGNB LCA Results'!$K$3,"_",Q371), $A$2:$P$352,5,FALSE)*'DGNB LCA Results'!$L$3+
                                                                  VLOOKUP(CONCATENATE('DGNB LCA Results'!$I$3,"_",Q371), $A$2:$P$352,5,FALSE)*'DGNB LCA Results'!$J$3+
                                                                  VLOOKUP(CONCATENATE('DGNB LCA Results'!$G$3,"_",Q371), $A$2:$P$352,5,FALSE)*'DGNB LCA Results'!$H$3,
IF('DGNB LCA Results'!$P$4=3,VLOOKUP(CONCATENATE('DGNB LCA Results'!$M$3,"_",Q371), $A$2:$P$352,5,FALSE)*'DGNB LCA Results'!$N$3+
                                                                VLOOKUP(CONCATENATE('DGNB LCA Results'!$K$3,"_",Q371), $A$2:$P$352,5,FALSE)*'DGNB LCA Results'!$L$3+
                                                                VLOOKUP(CONCATENATE('DGNB LCA Results'!$I$3,"_",Q371),$A$2:$P$352,5,FALSE)*'DGNB LCA Results'!$J$3,
IF('DGNB LCA Results'!$P$4=2,VLOOKUP(CONCATENATE('DGNB LCA Results'!$M$3,"_",Q371), $A$2:$P$352,5,FALSE)*'DGNB LCA Results'!$N$3+
                                                                 VLOOKUP(CONCATENATE('DGNB LCA Results'!$K$3,"_",Q371),$A$2:$P$352,5,FALSE)*'DGNB LCA Results'!$L$3,
IF('DGNB LCA Results'!$P$4=1,VLOOKUP(CONCATENATE('DGNB LCA Results'!$M$3,"_",Q371), $A$2:$P$352,5,FALSE)*'DGNB LCA Results'!$N$3,0))))</f>
        <v>0</v>
      </c>
      <c r="F371" s="47">
        <f>IF('DGNB LCA Results'!$P$4=4,VLOOKUP(CONCATENATE('DGNB LCA Results'!$M$3,"_",Q371), $A$2:$P$352,6,FALSE)*'DGNB LCA Results'!$N$3+
                                                                  VLOOKUP(CONCATENATE('DGNB LCA Results'!$K$3,"_",Q371), $A$2:$P$352,6,FALSE)*'DGNB LCA Results'!$L$3+
                                                                  VLOOKUP(CONCATENATE('DGNB LCA Results'!$I$3,"_",Q371), $A$2:$P$352,6,FALSE)*'DGNB LCA Results'!$J$3+
                                                                  VLOOKUP(CONCATENATE('DGNB LCA Results'!$G$3,"_",Q371), $A$2:$P$352,6,FALSE)*'DGNB LCA Results'!$H$3,
IF('DGNB LCA Results'!$P$4=3,VLOOKUP(CONCATENATE('DGNB LCA Results'!$M$3,"_",Q371), $A$2:$P$352,6,FALSE)*'DGNB LCA Results'!$N$3+
                                                                VLOOKUP(CONCATENATE('DGNB LCA Results'!$K$3,"_",Q371), $A$2:$P$352,6,FALSE)*'DGNB LCA Results'!$L$3+
                                                                VLOOKUP(CONCATENATE('DGNB LCA Results'!$I$3,"_",Q371),$A$2:$P$352,6,FALSE)*'DGNB LCA Results'!$J$3,
IF('DGNB LCA Results'!$P$4=2,VLOOKUP(CONCATENATE('DGNB LCA Results'!$M$3,"_",Q371), $A$2:$P$352,6,FALSE)*'DGNB LCA Results'!$N$3+
                                                                 VLOOKUP(CONCATENATE('DGNB LCA Results'!$K$3,"_",Q371),$A$2:$P$352,6,FALSE)*'DGNB LCA Results'!$L$3,
IF('DGNB LCA Results'!$P$4=1,VLOOKUP(CONCATENATE('DGNB LCA Results'!$M$3,"_",Q371), $A$2:$P$352,6,FALSE)*'DGNB LCA Results'!$N$3,0))))</f>
        <v>0</v>
      </c>
      <c r="G371" s="121">
        <f>IF('DGNB LCA Results'!$P$4=4,VLOOKUP(CONCATENATE('DGNB LCA Results'!$M$3,"_",Q371), $A$2:$P$352,7,FALSE)*'DGNB LCA Results'!$N$3+
                                                                  VLOOKUP(CONCATENATE('DGNB LCA Results'!$K$3,"_",Q371), $A$2:$P$352,7,FALSE)*'DGNB LCA Results'!$L$3+
                                                                  VLOOKUP(CONCATENATE('DGNB LCA Results'!$I$3,"_",Q371), $A$2:$P$352,7,FALSE)*'DGNB LCA Results'!$J$3+
                                                                  VLOOKUP(CONCATENATE('DGNB LCA Results'!$G$3,"_",Q371), $A$2:$P$352,7,FALSE)*'DGNB LCA Results'!$H$3,
IF('DGNB LCA Results'!$P$4=3,VLOOKUP(CONCATENATE('DGNB LCA Results'!$M$3,"_",Q371), $A$2:$P$352,7,FALSE)*'DGNB LCA Results'!$N$3+
                                                                VLOOKUP(CONCATENATE('DGNB LCA Results'!$K$3,"_",Q371), $A$2:$P$352,7,FALSE)*'DGNB LCA Results'!$L$3+
                                                                VLOOKUP(CONCATENATE('DGNB LCA Results'!$I$3,"_",Q371),$A$2:$P$352,7,FALSE)*'DGNB LCA Results'!$J$3,
IF('DGNB LCA Results'!$P$4=2,VLOOKUP(CONCATENATE('DGNB LCA Results'!$M$3,"_",Q371), $A$2:$P$352,7,FALSE)*'DGNB LCA Results'!$N$3+
                                                                 VLOOKUP(CONCATENATE('DGNB LCA Results'!$K$3,"_",Q371),$A$2:$P$352,7,FALSE)*'DGNB LCA Results'!$L$3,
IF('DGNB LCA Results'!$P$4=1,VLOOKUP(CONCATENATE('DGNB LCA Results'!$M$3,"_",Q371), $A$2:$P$352,7,FALSE)*'DGNB LCA Results'!$N$3,0))))</f>
        <v>0</v>
      </c>
      <c r="H371" s="120">
        <f>IF('DGNB LCA Results'!$P$4=4,VLOOKUP(CONCATENATE('DGNB LCA Results'!$M$3,"_",Q371), $A$2:$P$352,8,FALSE)*'DGNB LCA Results'!$N$3+
                                                                  VLOOKUP(CONCATENATE('DGNB LCA Results'!$K$3,"_",Q371), $A$2:$P$352,8,FALSE)*'DGNB LCA Results'!$L$3+
                                                                  VLOOKUP(CONCATENATE('DGNB LCA Results'!$I$3,"_",Q371), $A$2:$P$352,8,FALSE)*'DGNB LCA Results'!$J$3+
                                                                  VLOOKUP(CONCATENATE('DGNB LCA Results'!$G$3,"_",Q371), $A$2:$P$352,8,FALSE)*'DGNB LCA Results'!$H$3,
IF('DGNB LCA Results'!$P$4=3,VLOOKUP(CONCATENATE('DGNB LCA Results'!$M$3,"_",Q371), $A$2:$P$352,8,FALSE)*'DGNB LCA Results'!$N$3+
                                                                VLOOKUP(CONCATENATE('DGNB LCA Results'!$K$3,"_",Q371), $A$2:$P$352,8,FALSE)*'DGNB LCA Results'!$L$3+
                                                                VLOOKUP(CONCATENATE('DGNB LCA Results'!$I$3,"_",Q371),$A$2:$P$352,8,FALSE)*'DGNB LCA Results'!$J$3,
IF('DGNB LCA Results'!$P$4=2,VLOOKUP(CONCATENATE('DGNB LCA Results'!$M$3,"_",Q371), $A$2:$P$352,8,FALSE)*'DGNB LCA Results'!$N$3+
                                                                 VLOOKUP(CONCATENATE('DGNB LCA Results'!$K$3,"_",Q371),$A$2:$P$352,8,FALSE)*'DGNB LCA Results'!$L$3,
IF('DGNB LCA Results'!$P$4=1,VLOOKUP(CONCATENATE('DGNB LCA Results'!$M$3,"_",Q371), $A$2:$P$352,8,FALSE)*'DGNB LCA Results'!$N$3,0))))</f>
        <v>0</v>
      </c>
      <c r="I371" s="47">
        <f>IF('DGNB LCA Results'!$P$4=4,VLOOKUP(CONCATENATE('DGNB LCA Results'!$M$3,"_",Q371), $A$2:$P$352,9,FALSE)*'DGNB LCA Results'!$N$3+
                                                                  VLOOKUP(CONCATENATE('DGNB LCA Results'!$K$3,"_",Q371), $A$2:$P$352,9,FALSE)*'DGNB LCA Results'!$L$3+
                                                                  VLOOKUP(CONCATENATE('DGNB LCA Results'!$I$3,"_",Q371), $A$2:$P$352,9,FALSE)*'DGNB LCA Results'!$J$3+
                                                                  VLOOKUP(CONCATENATE('DGNB LCA Results'!$G$3,"_",Q371), $A$2:$P$352,9,FALSE)*'DGNB LCA Results'!$H$3,
IF('DGNB LCA Results'!$P$4=3,VLOOKUP(CONCATENATE('DGNB LCA Results'!$M$3,"_",Q371), $A$2:$P$352,9,FALSE)*'DGNB LCA Results'!$N$3+
                                                                VLOOKUP(CONCATENATE('DGNB LCA Results'!$K$3,"_",Q371), $A$2:$P$352,9,FALSE)*'DGNB LCA Results'!$L$3+
                                                                VLOOKUP(CONCATENATE('DGNB LCA Results'!$I$3,"_",Q371),$A$2:$P$352,9,FALSE)*'DGNB LCA Results'!$J$3,
IF('DGNB LCA Results'!$P$4=2,VLOOKUP(CONCATENATE('DGNB LCA Results'!$M$3,"_",Q371), $A$2:$P$352,9,FALSE)*'DGNB LCA Results'!$N$3+
                                                                 VLOOKUP(CONCATENATE('DGNB LCA Results'!$K$3,"_",Q371),$A$2:$P$352,9,FALSE)*'DGNB LCA Results'!$L$3,
IF('DGNB LCA Results'!$P$4=1,VLOOKUP(CONCATENATE('DGNB LCA Results'!$M$3,"_",Q371), $A$2:$P$352,9,FALSE)*'DGNB LCA Results'!$N$3,0))))</f>
        <v>0</v>
      </c>
      <c r="J371" s="121">
        <f>IF('DGNB LCA Results'!$P$4=4,VLOOKUP(CONCATENATE('DGNB LCA Results'!$M$3,"_",Q371), $A$2:$P$352,10,FALSE)*'DGNB LCA Results'!$N$3+
                                                                  VLOOKUP(CONCATENATE('DGNB LCA Results'!$K$3,"_",Q371), $A$2:$P$352,10,FALSE)*'DGNB LCA Results'!$L$3+
                                                                  VLOOKUP(CONCATENATE('DGNB LCA Results'!$I$3,"_",Q371), $A$2:$P$352,10,FALSE)*'DGNB LCA Results'!$J$3+
                                                                  VLOOKUP(CONCATENATE('DGNB LCA Results'!$G$3,"_",Q371), $A$2:$P$352,10,FALSE)*'DGNB LCA Results'!$H$3,
IF('DGNB LCA Results'!$P$4=3,VLOOKUP(CONCATENATE('DGNB LCA Results'!$M$3,"_",Q371), $A$2:$P$352,10,FALSE)*'DGNB LCA Results'!$N$3+
                                                                VLOOKUP(CONCATENATE('DGNB LCA Results'!$K$3,"_",Q371), $A$2:$P$352,10,FALSE)*'DGNB LCA Results'!$L$3+
                                                                VLOOKUP(CONCATENATE('DGNB LCA Results'!$I$3,"_",Q371),$A$2:$P$352,10,FALSE)*'DGNB LCA Results'!$J$3,
IF('DGNB LCA Results'!$P$4=2,VLOOKUP(CONCATENATE('DGNB LCA Results'!$M$3,"_",Q371), $A$2:$P$352,10,FALSE)*'DGNB LCA Results'!$N$3+
                                                                 VLOOKUP(CONCATENATE('DGNB LCA Results'!$K$3,"_",Q371),$A$2:$P$352,10,FALSE)*'DGNB LCA Results'!$L$3,
IF('DGNB LCA Results'!$P$4=1,VLOOKUP(CONCATENATE('DGNB LCA Results'!$M$3,"_",Q371), $A$2:$P$352,10,FALSE)*'DGNB LCA Results'!$N$3,0))))</f>
        <v>0</v>
      </c>
      <c r="K371" s="120">
        <f>IF('DGNB LCA Results'!$P$4=4,VLOOKUP(CONCATENATE('DGNB LCA Results'!$M$3,"_",Q371), $A$2:$P$352,11,FALSE)*'DGNB LCA Results'!$N$3+
                                                                  VLOOKUP(CONCATENATE('DGNB LCA Results'!$K$3,"_",Q371), $A$2:$P$352,11,FALSE)*'DGNB LCA Results'!$L$3+
                                                                  VLOOKUP(CONCATENATE('DGNB LCA Results'!$I$3,"_",Q371), $A$2:$P$352,11,FALSE)*'DGNB LCA Results'!$J$3+
                                                                  VLOOKUP(CONCATENATE('DGNB LCA Results'!$G$3,"_",Q371), $A$2:$P$352,11,FALSE)*'DGNB LCA Results'!$H$3,
IF('DGNB LCA Results'!$P$4=3,VLOOKUP(CONCATENATE('DGNB LCA Results'!$M$3,"_",Q371), $A$2:$P$352,11,FALSE)*'DGNB LCA Results'!$N$3+
                                                                VLOOKUP(CONCATENATE('DGNB LCA Results'!$K$3,"_",Q371), $A$2:$P$352,11,FALSE)*'DGNB LCA Results'!$L$3+
                                                                VLOOKUP(CONCATENATE('DGNB LCA Results'!$I$3,"_",Q371),$A$2:$P$352,11,FALSE)*'DGNB LCA Results'!$J$3,
IF('DGNB LCA Results'!$P$4=2,VLOOKUP(CONCATENATE('DGNB LCA Results'!$M$3,"_",Q371), $A$2:$P$352,11,FALSE)*'DGNB LCA Results'!$N$3+
                                                                 VLOOKUP(CONCATENATE('DGNB LCA Results'!$K$3,"_",Q371),$A$2:$P$352,11,FALSE)*'DGNB LCA Results'!$L$3,
IF('DGNB LCA Results'!$P$4=1,VLOOKUP(CONCATENATE('DGNB LCA Results'!$M$3,"_",Q371), $A$2:$P$352,11,FALSE)*'DGNB LCA Results'!$N$3,0))))</f>
        <v>0</v>
      </c>
      <c r="L371" s="47">
        <f>IF('DGNB LCA Results'!$P$4=4,VLOOKUP(CONCATENATE('DGNB LCA Results'!$M$3,"_",Q371), $A$2:$P$352,12,FALSE)*'DGNB LCA Results'!$N$3+
                                                                  VLOOKUP(CONCATENATE('DGNB LCA Results'!$K$3,"_",Q371), $A$2:$P$352,12,FALSE)*'DGNB LCA Results'!$L$3+
                                                                  VLOOKUP(CONCATENATE('DGNB LCA Results'!$I$3,"_",Q371), $A$2:$P$352,12,FALSE)*'DGNB LCA Results'!$J$3+
                                                                  VLOOKUP(CONCATENATE('DGNB LCA Results'!$G$3,"_",Q371), $A$2:$P$352,12,FALSE)*'DGNB LCA Results'!$H$3,
IF('DGNB LCA Results'!$P$4=3,VLOOKUP(CONCATENATE('DGNB LCA Results'!$M$3,"_",Q371), $A$2:$P$352,12,FALSE)*'DGNB LCA Results'!$N$3+
                                                                VLOOKUP(CONCATENATE('DGNB LCA Results'!$K$3,"_",Q371), $A$2:$P$352,12,FALSE)*'DGNB LCA Results'!$L$3+
                                                                VLOOKUP(CONCATENATE('DGNB LCA Results'!$I$3,"_",Q371),$A$2:$P$352,12,FALSE)*'DGNB LCA Results'!$J$3,
IF('DGNB LCA Results'!$P$4=2,VLOOKUP(CONCATENATE('DGNB LCA Results'!$M$3,"_",Q371), $A$2:$P$352,12,FALSE)*'DGNB LCA Results'!$N$3+
                                                                 VLOOKUP(CONCATENATE('DGNB LCA Results'!$K$3,"_",Q371),$A$2:$P$352,12,FALSE)*'DGNB LCA Results'!$L$3,
IF('DGNB LCA Results'!$P$4=1,VLOOKUP(CONCATENATE('DGNB LCA Results'!$M$3,"_",Q371), $A$2:$P$352,12,FALSE)*'DGNB LCA Results'!$N$3,0))))</f>
        <v>0</v>
      </c>
      <c r="M371" s="121">
        <f>IF('DGNB LCA Results'!$P$4=4,VLOOKUP(CONCATENATE('DGNB LCA Results'!$M$3,"_",Q371), $A$2:$P$352,13,FALSE)*'DGNB LCA Results'!$N$3+
                                                                  VLOOKUP(CONCATENATE('DGNB LCA Results'!$K$3,"_",Q371), $A$2:$P$352,13,FALSE)*'DGNB LCA Results'!$L$3+
                                                                  VLOOKUP(CONCATENATE('DGNB LCA Results'!$I$3,"_",Q371), $A$2:$P$352,13,FALSE)*'DGNB LCA Results'!$J$3+
                                                                  VLOOKUP(CONCATENATE('DGNB LCA Results'!$G$3,"_",Q371), $A$2:$P$352,13,FALSE)*'DGNB LCA Results'!$H$3,
IF('DGNB LCA Results'!$P$4=3,VLOOKUP(CONCATENATE('DGNB LCA Results'!$M$3,"_",Q371), $A$2:$P$352,13,FALSE)*'DGNB LCA Results'!$N$3+
                                                                VLOOKUP(CONCATENATE('DGNB LCA Results'!$K$3,"_",Q371), $A$2:$P$352,13,FALSE)*'DGNB LCA Results'!$L$3+
                                                                VLOOKUP(CONCATENATE('DGNB LCA Results'!$I$3,"_",Q371),$A$2:$P$352,13,FALSE)*'DGNB LCA Results'!$J$3,
IF('DGNB LCA Results'!$P$4=2,VLOOKUP(CONCATENATE('DGNB LCA Results'!$M$3,"_",Q371), $A$2:$P$352,13,FALSE)*'DGNB LCA Results'!$N$3+
                                                                 VLOOKUP(CONCATENATE('DGNB LCA Results'!$K$3,"_",Q371),$A$2:$P$352,13,FALSE)*'DGNB LCA Results'!$L$3,
IF('DGNB LCA Results'!$P$4=1,VLOOKUP(CONCATENATE('DGNB LCA Results'!$M$3,"_",Q371), $A$2:$P$352,13,FALSE)*'DGNB LCA Results'!$N$3,0))))</f>
        <v>0</v>
      </c>
      <c r="N371" s="120">
        <f>IF('DGNB LCA Results'!$P$4=4,VLOOKUP(CONCATENATE('DGNB LCA Results'!$M$3,"_",Q371), $A$2:$P$352,14,FALSE)*'DGNB LCA Results'!$N$3+
                                                                  VLOOKUP(CONCATENATE('DGNB LCA Results'!$K$3,"_",Q371), $A$2:$P$352,14,FALSE)*'DGNB LCA Results'!$L$3+
                                                                  VLOOKUP(CONCATENATE('DGNB LCA Results'!$I$3,"_",Q371), $A$2:$P$352,14,FALSE)*'DGNB LCA Results'!$J$3+
                                                                  VLOOKUP(CONCATENATE('DGNB LCA Results'!$G$3,"_",Q371), $A$2:$P$352,14,FALSE)*'DGNB LCA Results'!$H$3,
IF('DGNB LCA Results'!$P$4=3,VLOOKUP(CONCATENATE('DGNB LCA Results'!$M$3,"_",Q371), $A$2:$P$352,14,FALSE)*'DGNB LCA Results'!$N$3+
                                                                VLOOKUP(CONCATENATE('DGNB LCA Results'!$K$3,"_",Q371), $A$2:$P$352,14,FALSE)*'DGNB LCA Results'!$L$3+
                                                                VLOOKUP(CONCATENATE('DGNB LCA Results'!$I$3,"_",Q371),$A$2:$P$352,14,FALSE)*'DGNB LCA Results'!$J$3,
IF('DGNB LCA Results'!$P$4=2,VLOOKUP(CONCATENATE('DGNB LCA Results'!$M$3,"_",Q371), $A$2:$P$352,14,FALSE)*'DGNB LCA Results'!$N$3+
                                                                 VLOOKUP(CONCATENATE('DGNB LCA Results'!$K$3,"_",Q371),$A$2:$P$352,14,FALSE)*'DGNB LCA Results'!$L$3,
IF('DGNB LCA Results'!$P$4=1,VLOOKUP(CONCATENATE('DGNB LCA Results'!$M$3,"_",Q371), $A$2:$P$352,14,FALSE)*'DGNB LCA Results'!$N$3,0))))</f>
        <v>0</v>
      </c>
      <c r="O371" s="47">
        <f>IF('DGNB LCA Results'!$P$4=4,VLOOKUP(CONCATENATE('DGNB LCA Results'!$M$3,"_",Q371), $A$2:$P$352,15,FALSE)*'DGNB LCA Results'!$N$3+
                                                                  VLOOKUP(CONCATENATE('DGNB LCA Results'!$K$3,"_",Q371), $A$2:$P$352,15,FALSE)*'DGNB LCA Results'!$L$3+
                                                                  VLOOKUP(CONCATENATE('DGNB LCA Results'!$I$3,"_",Q371), $A$2:$P$352,15,FALSE)*'DGNB LCA Results'!$J$3+
                                                                  VLOOKUP(CONCATENATE('DGNB LCA Results'!$G$3,"_",Q371), $A$2:$P$352,15,FALSE)*'DGNB LCA Results'!$H$3,
IF('DGNB LCA Results'!$P$4=3,VLOOKUP(CONCATENATE('DGNB LCA Results'!$M$3,"_",Q371), $A$2:$P$352,15,FALSE)*'DGNB LCA Results'!$N$3+
                                                                VLOOKUP(CONCATENATE('DGNB LCA Results'!$K$3,"_",Q371), $A$2:$P$352,15,FALSE)*'DGNB LCA Results'!$L$3+
                                                                VLOOKUP(CONCATENATE('DGNB LCA Results'!$I$3,"_",Q371),$A$2:$P$352,15,FALSE)*'DGNB LCA Results'!$J$3,
IF('DGNB LCA Results'!$P$4=2,VLOOKUP(CONCATENATE('DGNB LCA Results'!$M$3,"_",Q371), $A$2:$P$352,15,FALSE)*'DGNB LCA Results'!$N$3+
                                                                 VLOOKUP(CONCATENATE('DGNB LCA Results'!$K$3,"_",Q371),$A$2:$P$352,15,FALSE)*'DGNB LCA Results'!$L$3,
IF('DGNB LCA Results'!$P$4=1,VLOOKUP(CONCATENATE('DGNB LCA Results'!$M$3,"_",Q371), $A$2:$P$352,15,FALSE)*'DGNB LCA Results'!$N$3,0))))</f>
        <v>0</v>
      </c>
      <c r="P371" s="121">
        <f>IF('DGNB LCA Results'!$P$4=4,VLOOKUP(CONCATENATE('DGNB LCA Results'!$M$3,"_",Q371), $A$2:$P$352,16,FALSE)*'DGNB LCA Results'!$N$3+
                                                                  VLOOKUP(CONCATENATE('DGNB LCA Results'!$K$3,"_",Q371), $A$2:$P$352,16,FALSE)*'DGNB LCA Results'!$L$3+
                                                                  VLOOKUP(CONCATENATE('DGNB LCA Results'!$I$3,"_",Q371), $A$2:$P$352,16,FALSE)*'DGNB LCA Results'!$J$3+
                                                                  VLOOKUP(CONCATENATE('DGNB LCA Results'!$G$3,"_",Q371), $A$2:$P$352,16,FALSE)*'DGNB LCA Results'!$H$3,
IF('DGNB LCA Results'!$P$4=3,VLOOKUP(CONCATENATE('DGNB LCA Results'!$M$3,"_",Q371), $A$2:$P$352,16,FALSE)*'DGNB LCA Results'!$N$3+
                                                                VLOOKUP(CONCATENATE('DGNB LCA Results'!$K$3,"_",Q371), $A$2:$P$352,16,FALSE)*'DGNB LCA Results'!$L$3+
                                                                VLOOKUP(CONCATENATE('DGNB LCA Results'!$I$3,"_",Q371),$A$2:$P$352,16,FALSE)*'DGNB LCA Results'!$J$3,
IF('DGNB LCA Results'!$P$4=2,VLOOKUP(CONCATENATE('DGNB LCA Results'!$M$3,"_",Q371), $A$2:$P$352,16,FALSE)*'DGNB LCA Results'!$N$3+
                                                                 VLOOKUP(CONCATENATE('DGNB LCA Results'!$K$3,"_",Q371),$A$2:$P$352,16,FALSE)*'DGNB LCA Results'!$L$3,
IF('DGNB LCA Results'!$P$4=1,VLOOKUP(CONCATENATE('DGNB LCA Results'!$M$3,"_",Q371), $A$2:$P$352,16,FALSE)*'DGNB LCA Results'!$N$3,0))))</f>
        <v>0</v>
      </c>
      <c r="Q371">
        <v>70</v>
      </c>
      <c r="R371" t="s">
        <v>193</v>
      </c>
    </row>
    <row r="372" spans="1:18" x14ac:dyDescent="0.2">
      <c r="A372" t="str">
        <f t="shared" si="7"/>
        <v>MIX12_75</v>
      </c>
      <c r="B372" s="120">
        <f>IF('DGNB LCA Results'!$P$4=4,VLOOKUP(CONCATENATE('DGNB LCA Results'!$M$3,"_",Q372), $A$2:$P$352,2,FALSE)*'DGNB LCA Results'!$N$3+
                                                                  VLOOKUP(CONCATENATE('DGNB LCA Results'!$K$3,"_",Q372), $A$2:$P$352,2,FALSE)*'DGNB LCA Results'!$L$3+
                                                                  VLOOKUP(CONCATENATE('DGNB LCA Results'!$I$3,"_",Q372), $A$2:$P$352,2,FALSE)*'DGNB LCA Results'!$J$3+
                                                                  VLOOKUP(CONCATENATE('DGNB LCA Results'!$G$3,"_",Q372), $A$2:$P$352,2,FALSE)*'DGNB LCA Results'!$H$3,
IF('DGNB LCA Results'!$P$4=3,VLOOKUP(CONCATENATE('DGNB LCA Results'!$M$3,"_",Q372), $A$2:$P$352,2,FALSE)*'DGNB LCA Results'!$N$3+
                                                                VLOOKUP(CONCATENATE('DGNB LCA Results'!$K$3,"_",Q372), $A$2:$P$352,2,FALSE)*'DGNB LCA Results'!$L$3+
                                                                VLOOKUP(CONCATENATE('DGNB LCA Results'!$I$3,"_",Q372),$A$2:$P$352,2,FALSE)*'DGNB LCA Results'!$J$3,
IF('DGNB LCA Results'!$P$4=2,VLOOKUP(CONCATENATE('DGNB LCA Results'!$M$3,"_",Q372), $A$2:$P$352,2,FALSE)*'DGNB LCA Results'!$N$3+
                                                                 VLOOKUP(CONCATENATE('DGNB LCA Results'!$K$3,"_",Q372),$A$2:$P$352,2,FALSE)*'DGNB LCA Results'!$L$3,
IF('DGNB LCA Results'!$P$4=1,VLOOKUP(CONCATENATE('DGNB LCA Results'!$M$3,"_",Q372), $A$2:$P$352,2,FALSE)*'DGNB LCA Results'!$N$3,0))))</f>
        <v>0</v>
      </c>
      <c r="C372" s="49">
        <f>IF('DGNB LCA Results'!$P$4=4,VLOOKUP(CONCATENATE('DGNB LCA Results'!$M$3,"_",Q372), $A$2:$P$352,3,FALSE)*'DGNB LCA Results'!$N$3+
                                                                  VLOOKUP(CONCATENATE('DGNB LCA Results'!$K$3,"_",Q372), $A$2:$P$352,3,FALSE)*'DGNB LCA Results'!$L$3+
                                                                  VLOOKUP(CONCATENATE('DGNB LCA Results'!$I$3,"_",Q372), $A$2:$P$352,3,FALSE)*'DGNB LCA Results'!$J$3+
                                                                  VLOOKUP(CONCATENATE('DGNB LCA Results'!$G$3,"_",Q372), $A$2:$P$352,3,FALSE)*'DGNB LCA Results'!$H$3,
IF('DGNB LCA Results'!$P$4=3,VLOOKUP(CONCATENATE('DGNB LCA Results'!$M$3,"_",Q372), $A$2:$P$352,3,FALSE)*'DGNB LCA Results'!$N$3+
                                                                VLOOKUP(CONCATENATE('DGNB LCA Results'!$K$3,"_",Q372), $A$2:$P$352,3,FALSE)*'DGNB LCA Results'!$L$3+
                                                                VLOOKUP(CONCATENATE('DGNB LCA Results'!$I$3,"_",Q372),$A$2:$P$352,3,FALSE)*'DGNB LCA Results'!$J$3,
IF('DGNB LCA Results'!$P$4=2,VLOOKUP(CONCATENATE('DGNB LCA Results'!$M$3,"_",Q372), $A$2:$P$352,3,FALSE)*'DGNB LCA Results'!$N$3+
                                                                 VLOOKUP(CONCATENATE('DGNB LCA Results'!$K$3,"_",Q372),$A$2:$P$352,3,FALSE)*'DGNB LCA Results'!$L$3,
IF('DGNB LCA Results'!$P$4=1,VLOOKUP(CONCATENATE('DGNB LCA Results'!$M$3,"_",Q372), $A$2:$P$352,3,FALSE)*'DGNB LCA Results'!$N$3,0))))</f>
        <v>0</v>
      </c>
      <c r="D372" s="49">
        <f>IF('DGNB LCA Results'!$P$4=4,VLOOKUP(CONCATENATE('DGNB LCA Results'!$M$3,"_",Q372), $A$2:$P$352,4,FALSE)*'DGNB LCA Results'!$N$3+
                                                                  VLOOKUP(CONCATENATE('DGNB LCA Results'!$K$3,"_",Q372), $A$2:$P$352,4,FALSE)*'DGNB LCA Results'!$L$3+
                                                                  VLOOKUP(CONCATENATE('DGNB LCA Results'!$I$3,"_",Q372), $A$2:$P$352,4,FALSE)*'DGNB LCA Results'!$J$3+
                                                                  VLOOKUP(CONCATENATE('DGNB LCA Results'!$G$3,"_",Q372), $A$2:$P$352,4,FALSE)*'DGNB LCA Results'!$H$3,
IF('DGNB LCA Results'!$P$4=3,VLOOKUP(CONCATENATE('DGNB LCA Results'!$M$3,"_",Q372), $A$2:$P$352,4,FALSE)*'DGNB LCA Results'!$N$3+
                                                                VLOOKUP(CONCATENATE('DGNB LCA Results'!$K$3,"_",Q372), $A$2:$P$352,4,FALSE)*'DGNB LCA Results'!$L$3+
                                                                VLOOKUP(CONCATENATE('DGNB LCA Results'!$I$3,"_",Q372),$A$2:$P$352,4,FALSE)*'DGNB LCA Results'!$J$3,
IF('DGNB LCA Results'!$P$4=2,VLOOKUP(CONCATENATE('DGNB LCA Results'!$M$3,"_",Q372), $A$2:$P$352,4,FALSE)*'DGNB LCA Results'!$N$3+
                                                                 VLOOKUP(CONCATENATE('DGNB LCA Results'!$K$3,"_",Q372),$A$2:$P$352,4,FALSE)*'DGNB LCA Results'!$L$3,
IF('DGNB LCA Results'!$P$4=1,VLOOKUP(CONCATENATE('DGNB LCA Results'!$M$3,"_",Q372), $A$2:$P$352,4,FALSE)*'DGNB LCA Results'!$N$3,0))))</f>
        <v>0</v>
      </c>
      <c r="E372" s="120">
        <f>IF('DGNB LCA Results'!$P$4=4,VLOOKUP(CONCATENATE('DGNB LCA Results'!$M$3,"_",Q372), $A$2:$P$352,5,FALSE)*'DGNB LCA Results'!$N$3+
                                                                  VLOOKUP(CONCATENATE('DGNB LCA Results'!$K$3,"_",Q372), $A$2:$P$352,5,FALSE)*'DGNB LCA Results'!$L$3+
                                                                  VLOOKUP(CONCATENATE('DGNB LCA Results'!$I$3,"_",Q372), $A$2:$P$352,5,FALSE)*'DGNB LCA Results'!$J$3+
                                                                  VLOOKUP(CONCATENATE('DGNB LCA Results'!$G$3,"_",Q372), $A$2:$P$352,5,FALSE)*'DGNB LCA Results'!$H$3,
IF('DGNB LCA Results'!$P$4=3,VLOOKUP(CONCATENATE('DGNB LCA Results'!$M$3,"_",Q372), $A$2:$P$352,5,FALSE)*'DGNB LCA Results'!$N$3+
                                                                VLOOKUP(CONCATENATE('DGNB LCA Results'!$K$3,"_",Q372), $A$2:$P$352,5,FALSE)*'DGNB LCA Results'!$L$3+
                                                                VLOOKUP(CONCATENATE('DGNB LCA Results'!$I$3,"_",Q372),$A$2:$P$352,5,FALSE)*'DGNB LCA Results'!$J$3,
IF('DGNB LCA Results'!$P$4=2,VLOOKUP(CONCATENATE('DGNB LCA Results'!$M$3,"_",Q372), $A$2:$P$352,5,FALSE)*'DGNB LCA Results'!$N$3+
                                                                 VLOOKUP(CONCATENATE('DGNB LCA Results'!$K$3,"_",Q372),$A$2:$P$352,5,FALSE)*'DGNB LCA Results'!$L$3,
IF('DGNB LCA Results'!$P$4=1,VLOOKUP(CONCATENATE('DGNB LCA Results'!$M$3,"_",Q372), $A$2:$P$352,5,FALSE)*'DGNB LCA Results'!$N$3,0))))</f>
        <v>0</v>
      </c>
      <c r="F372" s="47">
        <f>IF('DGNB LCA Results'!$P$4=4,VLOOKUP(CONCATENATE('DGNB LCA Results'!$M$3,"_",Q372), $A$2:$P$352,6,FALSE)*'DGNB LCA Results'!$N$3+
                                                                  VLOOKUP(CONCATENATE('DGNB LCA Results'!$K$3,"_",Q372), $A$2:$P$352,6,FALSE)*'DGNB LCA Results'!$L$3+
                                                                  VLOOKUP(CONCATENATE('DGNB LCA Results'!$I$3,"_",Q372), $A$2:$P$352,6,FALSE)*'DGNB LCA Results'!$J$3+
                                                                  VLOOKUP(CONCATENATE('DGNB LCA Results'!$G$3,"_",Q372), $A$2:$P$352,6,FALSE)*'DGNB LCA Results'!$H$3,
IF('DGNB LCA Results'!$P$4=3,VLOOKUP(CONCATENATE('DGNB LCA Results'!$M$3,"_",Q372), $A$2:$P$352,6,FALSE)*'DGNB LCA Results'!$N$3+
                                                                VLOOKUP(CONCATENATE('DGNB LCA Results'!$K$3,"_",Q372), $A$2:$P$352,6,FALSE)*'DGNB LCA Results'!$L$3+
                                                                VLOOKUP(CONCATENATE('DGNB LCA Results'!$I$3,"_",Q372),$A$2:$P$352,6,FALSE)*'DGNB LCA Results'!$J$3,
IF('DGNB LCA Results'!$P$4=2,VLOOKUP(CONCATENATE('DGNB LCA Results'!$M$3,"_",Q372), $A$2:$P$352,6,FALSE)*'DGNB LCA Results'!$N$3+
                                                                 VLOOKUP(CONCATENATE('DGNB LCA Results'!$K$3,"_",Q372),$A$2:$P$352,6,FALSE)*'DGNB LCA Results'!$L$3,
IF('DGNB LCA Results'!$P$4=1,VLOOKUP(CONCATENATE('DGNB LCA Results'!$M$3,"_",Q372), $A$2:$P$352,6,FALSE)*'DGNB LCA Results'!$N$3,0))))</f>
        <v>0</v>
      </c>
      <c r="G372" s="121">
        <f>IF('DGNB LCA Results'!$P$4=4,VLOOKUP(CONCATENATE('DGNB LCA Results'!$M$3,"_",Q372), $A$2:$P$352,7,FALSE)*'DGNB LCA Results'!$N$3+
                                                                  VLOOKUP(CONCATENATE('DGNB LCA Results'!$K$3,"_",Q372), $A$2:$P$352,7,FALSE)*'DGNB LCA Results'!$L$3+
                                                                  VLOOKUP(CONCATENATE('DGNB LCA Results'!$I$3,"_",Q372), $A$2:$P$352,7,FALSE)*'DGNB LCA Results'!$J$3+
                                                                  VLOOKUP(CONCATENATE('DGNB LCA Results'!$G$3,"_",Q372), $A$2:$P$352,7,FALSE)*'DGNB LCA Results'!$H$3,
IF('DGNB LCA Results'!$P$4=3,VLOOKUP(CONCATENATE('DGNB LCA Results'!$M$3,"_",Q372), $A$2:$P$352,7,FALSE)*'DGNB LCA Results'!$N$3+
                                                                VLOOKUP(CONCATENATE('DGNB LCA Results'!$K$3,"_",Q372), $A$2:$P$352,7,FALSE)*'DGNB LCA Results'!$L$3+
                                                                VLOOKUP(CONCATENATE('DGNB LCA Results'!$I$3,"_",Q372),$A$2:$P$352,7,FALSE)*'DGNB LCA Results'!$J$3,
IF('DGNB LCA Results'!$P$4=2,VLOOKUP(CONCATENATE('DGNB LCA Results'!$M$3,"_",Q372), $A$2:$P$352,7,FALSE)*'DGNB LCA Results'!$N$3+
                                                                 VLOOKUP(CONCATENATE('DGNB LCA Results'!$K$3,"_",Q372),$A$2:$P$352,7,FALSE)*'DGNB LCA Results'!$L$3,
IF('DGNB LCA Results'!$P$4=1,VLOOKUP(CONCATENATE('DGNB LCA Results'!$M$3,"_",Q372), $A$2:$P$352,7,FALSE)*'DGNB LCA Results'!$N$3,0))))</f>
        <v>0</v>
      </c>
      <c r="H372" s="120">
        <f>IF('DGNB LCA Results'!$P$4=4,VLOOKUP(CONCATENATE('DGNB LCA Results'!$M$3,"_",Q372), $A$2:$P$352,8,FALSE)*'DGNB LCA Results'!$N$3+
                                                                  VLOOKUP(CONCATENATE('DGNB LCA Results'!$K$3,"_",Q372), $A$2:$P$352,8,FALSE)*'DGNB LCA Results'!$L$3+
                                                                  VLOOKUP(CONCATENATE('DGNB LCA Results'!$I$3,"_",Q372), $A$2:$P$352,8,FALSE)*'DGNB LCA Results'!$J$3+
                                                                  VLOOKUP(CONCATENATE('DGNB LCA Results'!$G$3,"_",Q372), $A$2:$P$352,8,FALSE)*'DGNB LCA Results'!$H$3,
IF('DGNB LCA Results'!$P$4=3,VLOOKUP(CONCATENATE('DGNB LCA Results'!$M$3,"_",Q372), $A$2:$P$352,8,FALSE)*'DGNB LCA Results'!$N$3+
                                                                VLOOKUP(CONCATENATE('DGNB LCA Results'!$K$3,"_",Q372), $A$2:$P$352,8,FALSE)*'DGNB LCA Results'!$L$3+
                                                                VLOOKUP(CONCATENATE('DGNB LCA Results'!$I$3,"_",Q372),$A$2:$P$352,8,FALSE)*'DGNB LCA Results'!$J$3,
IF('DGNB LCA Results'!$P$4=2,VLOOKUP(CONCATENATE('DGNB LCA Results'!$M$3,"_",Q372), $A$2:$P$352,8,FALSE)*'DGNB LCA Results'!$N$3+
                                                                 VLOOKUP(CONCATENATE('DGNB LCA Results'!$K$3,"_",Q372),$A$2:$P$352,8,FALSE)*'DGNB LCA Results'!$L$3,
IF('DGNB LCA Results'!$P$4=1,VLOOKUP(CONCATENATE('DGNB LCA Results'!$M$3,"_",Q372), $A$2:$P$352,8,FALSE)*'DGNB LCA Results'!$N$3,0))))</f>
        <v>0</v>
      </c>
      <c r="I372" s="47">
        <f>IF('DGNB LCA Results'!$P$4=4,VLOOKUP(CONCATENATE('DGNB LCA Results'!$M$3,"_",Q372), $A$2:$P$352,9,FALSE)*'DGNB LCA Results'!$N$3+
                                                                  VLOOKUP(CONCATENATE('DGNB LCA Results'!$K$3,"_",Q372), $A$2:$P$352,9,FALSE)*'DGNB LCA Results'!$L$3+
                                                                  VLOOKUP(CONCATENATE('DGNB LCA Results'!$I$3,"_",Q372), $A$2:$P$352,9,FALSE)*'DGNB LCA Results'!$J$3+
                                                                  VLOOKUP(CONCATENATE('DGNB LCA Results'!$G$3,"_",Q372), $A$2:$P$352,9,FALSE)*'DGNB LCA Results'!$H$3,
IF('DGNB LCA Results'!$P$4=3,VLOOKUP(CONCATENATE('DGNB LCA Results'!$M$3,"_",Q372), $A$2:$P$352,9,FALSE)*'DGNB LCA Results'!$N$3+
                                                                VLOOKUP(CONCATENATE('DGNB LCA Results'!$K$3,"_",Q372), $A$2:$P$352,9,FALSE)*'DGNB LCA Results'!$L$3+
                                                                VLOOKUP(CONCATENATE('DGNB LCA Results'!$I$3,"_",Q372),$A$2:$P$352,9,FALSE)*'DGNB LCA Results'!$J$3,
IF('DGNB LCA Results'!$P$4=2,VLOOKUP(CONCATENATE('DGNB LCA Results'!$M$3,"_",Q372), $A$2:$P$352,9,FALSE)*'DGNB LCA Results'!$N$3+
                                                                 VLOOKUP(CONCATENATE('DGNB LCA Results'!$K$3,"_",Q372),$A$2:$P$352,9,FALSE)*'DGNB LCA Results'!$L$3,
IF('DGNB LCA Results'!$P$4=1,VLOOKUP(CONCATENATE('DGNB LCA Results'!$M$3,"_",Q372), $A$2:$P$352,9,FALSE)*'DGNB LCA Results'!$N$3,0))))</f>
        <v>0</v>
      </c>
      <c r="J372" s="121">
        <f>IF('DGNB LCA Results'!$P$4=4,VLOOKUP(CONCATENATE('DGNB LCA Results'!$M$3,"_",Q372), $A$2:$P$352,10,FALSE)*'DGNB LCA Results'!$N$3+
                                                                  VLOOKUP(CONCATENATE('DGNB LCA Results'!$K$3,"_",Q372), $A$2:$P$352,10,FALSE)*'DGNB LCA Results'!$L$3+
                                                                  VLOOKUP(CONCATENATE('DGNB LCA Results'!$I$3,"_",Q372), $A$2:$P$352,10,FALSE)*'DGNB LCA Results'!$J$3+
                                                                  VLOOKUP(CONCATENATE('DGNB LCA Results'!$G$3,"_",Q372), $A$2:$P$352,10,FALSE)*'DGNB LCA Results'!$H$3,
IF('DGNB LCA Results'!$P$4=3,VLOOKUP(CONCATENATE('DGNB LCA Results'!$M$3,"_",Q372), $A$2:$P$352,10,FALSE)*'DGNB LCA Results'!$N$3+
                                                                VLOOKUP(CONCATENATE('DGNB LCA Results'!$K$3,"_",Q372), $A$2:$P$352,10,FALSE)*'DGNB LCA Results'!$L$3+
                                                                VLOOKUP(CONCATENATE('DGNB LCA Results'!$I$3,"_",Q372),$A$2:$P$352,10,FALSE)*'DGNB LCA Results'!$J$3,
IF('DGNB LCA Results'!$P$4=2,VLOOKUP(CONCATENATE('DGNB LCA Results'!$M$3,"_",Q372), $A$2:$P$352,10,FALSE)*'DGNB LCA Results'!$N$3+
                                                                 VLOOKUP(CONCATENATE('DGNB LCA Results'!$K$3,"_",Q372),$A$2:$P$352,10,FALSE)*'DGNB LCA Results'!$L$3,
IF('DGNB LCA Results'!$P$4=1,VLOOKUP(CONCATENATE('DGNB LCA Results'!$M$3,"_",Q372), $A$2:$P$352,10,FALSE)*'DGNB LCA Results'!$N$3,0))))</f>
        <v>0</v>
      </c>
      <c r="K372" s="120">
        <f>IF('DGNB LCA Results'!$P$4=4,VLOOKUP(CONCATENATE('DGNB LCA Results'!$M$3,"_",Q372), $A$2:$P$352,11,FALSE)*'DGNB LCA Results'!$N$3+
                                                                  VLOOKUP(CONCATENATE('DGNB LCA Results'!$K$3,"_",Q372), $A$2:$P$352,11,FALSE)*'DGNB LCA Results'!$L$3+
                                                                  VLOOKUP(CONCATENATE('DGNB LCA Results'!$I$3,"_",Q372), $A$2:$P$352,11,FALSE)*'DGNB LCA Results'!$J$3+
                                                                  VLOOKUP(CONCATENATE('DGNB LCA Results'!$G$3,"_",Q372), $A$2:$P$352,11,FALSE)*'DGNB LCA Results'!$H$3,
IF('DGNB LCA Results'!$P$4=3,VLOOKUP(CONCATENATE('DGNB LCA Results'!$M$3,"_",Q372), $A$2:$P$352,11,FALSE)*'DGNB LCA Results'!$N$3+
                                                                VLOOKUP(CONCATENATE('DGNB LCA Results'!$K$3,"_",Q372), $A$2:$P$352,11,FALSE)*'DGNB LCA Results'!$L$3+
                                                                VLOOKUP(CONCATENATE('DGNB LCA Results'!$I$3,"_",Q372),$A$2:$P$352,11,FALSE)*'DGNB LCA Results'!$J$3,
IF('DGNB LCA Results'!$P$4=2,VLOOKUP(CONCATENATE('DGNB LCA Results'!$M$3,"_",Q372), $A$2:$P$352,11,FALSE)*'DGNB LCA Results'!$N$3+
                                                                 VLOOKUP(CONCATENATE('DGNB LCA Results'!$K$3,"_",Q372),$A$2:$P$352,11,FALSE)*'DGNB LCA Results'!$L$3,
IF('DGNB LCA Results'!$P$4=1,VLOOKUP(CONCATENATE('DGNB LCA Results'!$M$3,"_",Q372), $A$2:$P$352,11,FALSE)*'DGNB LCA Results'!$N$3,0))))</f>
        <v>0</v>
      </c>
      <c r="L372" s="47">
        <f>IF('DGNB LCA Results'!$P$4=4,VLOOKUP(CONCATENATE('DGNB LCA Results'!$M$3,"_",Q372), $A$2:$P$352,12,FALSE)*'DGNB LCA Results'!$N$3+
                                                                  VLOOKUP(CONCATENATE('DGNB LCA Results'!$K$3,"_",Q372), $A$2:$P$352,12,FALSE)*'DGNB LCA Results'!$L$3+
                                                                  VLOOKUP(CONCATENATE('DGNB LCA Results'!$I$3,"_",Q372), $A$2:$P$352,12,FALSE)*'DGNB LCA Results'!$J$3+
                                                                  VLOOKUP(CONCATENATE('DGNB LCA Results'!$G$3,"_",Q372), $A$2:$P$352,12,FALSE)*'DGNB LCA Results'!$H$3,
IF('DGNB LCA Results'!$P$4=3,VLOOKUP(CONCATENATE('DGNB LCA Results'!$M$3,"_",Q372), $A$2:$P$352,12,FALSE)*'DGNB LCA Results'!$N$3+
                                                                VLOOKUP(CONCATENATE('DGNB LCA Results'!$K$3,"_",Q372), $A$2:$P$352,12,FALSE)*'DGNB LCA Results'!$L$3+
                                                                VLOOKUP(CONCATENATE('DGNB LCA Results'!$I$3,"_",Q372),$A$2:$P$352,12,FALSE)*'DGNB LCA Results'!$J$3,
IF('DGNB LCA Results'!$P$4=2,VLOOKUP(CONCATENATE('DGNB LCA Results'!$M$3,"_",Q372), $A$2:$P$352,12,FALSE)*'DGNB LCA Results'!$N$3+
                                                                 VLOOKUP(CONCATENATE('DGNB LCA Results'!$K$3,"_",Q372),$A$2:$P$352,12,FALSE)*'DGNB LCA Results'!$L$3,
IF('DGNB LCA Results'!$P$4=1,VLOOKUP(CONCATENATE('DGNB LCA Results'!$M$3,"_",Q372), $A$2:$P$352,12,FALSE)*'DGNB LCA Results'!$N$3,0))))</f>
        <v>0</v>
      </c>
      <c r="M372" s="121">
        <f>IF('DGNB LCA Results'!$P$4=4,VLOOKUP(CONCATENATE('DGNB LCA Results'!$M$3,"_",Q372), $A$2:$P$352,13,FALSE)*'DGNB LCA Results'!$N$3+
                                                                  VLOOKUP(CONCATENATE('DGNB LCA Results'!$K$3,"_",Q372), $A$2:$P$352,13,FALSE)*'DGNB LCA Results'!$L$3+
                                                                  VLOOKUP(CONCATENATE('DGNB LCA Results'!$I$3,"_",Q372), $A$2:$P$352,13,FALSE)*'DGNB LCA Results'!$J$3+
                                                                  VLOOKUP(CONCATENATE('DGNB LCA Results'!$G$3,"_",Q372), $A$2:$P$352,13,FALSE)*'DGNB LCA Results'!$H$3,
IF('DGNB LCA Results'!$P$4=3,VLOOKUP(CONCATENATE('DGNB LCA Results'!$M$3,"_",Q372), $A$2:$P$352,13,FALSE)*'DGNB LCA Results'!$N$3+
                                                                VLOOKUP(CONCATENATE('DGNB LCA Results'!$K$3,"_",Q372), $A$2:$P$352,13,FALSE)*'DGNB LCA Results'!$L$3+
                                                                VLOOKUP(CONCATENATE('DGNB LCA Results'!$I$3,"_",Q372),$A$2:$P$352,13,FALSE)*'DGNB LCA Results'!$J$3,
IF('DGNB LCA Results'!$P$4=2,VLOOKUP(CONCATENATE('DGNB LCA Results'!$M$3,"_",Q372), $A$2:$P$352,13,FALSE)*'DGNB LCA Results'!$N$3+
                                                                 VLOOKUP(CONCATENATE('DGNB LCA Results'!$K$3,"_",Q372),$A$2:$P$352,13,FALSE)*'DGNB LCA Results'!$L$3,
IF('DGNB LCA Results'!$P$4=1,VLOOKUP(CONCATENATE('DGNB LCA Results'!$M$3,"_",Q372), $A$2:$P$352,13,FALSE)*'DGNB LCA Results'!$N$3,0))))</f>
        <v>0</v>
      </c>
      <c r="N372" s="120">
        <f>IF('DGNB LCA Results'!$P$4=4,VLOOKUP(CONCATENATE('DGNB LCA Results'!$M$3,"_",Q372), $A$2:$P$352,14,FALSE)*'DGNB LCA Results'!$N$3+
                                                                  VLOOKUP(CONCATENATE('DGNB LCA Results'!$K$3,"_",Q372), $A$2:$P$352,14,FALSE)*'DGNB LCA Results'!$L$3+
                                                                  VLOOKUP(CONCATENATE('DGNB LCA Results'!$I$3,"_",Q372), $A$2:$P$352,14,FALSE)*'DGNB LCA Results'!$J$3+
                                                                  VLOOKUP(CONCATENATE('DGNB LCA Results'!$G$3,"_",Q372), $A$2:$P$352,14,FALSE)*'DGNB LCA Results'!$H$3,
IF('DGNB LCA Results'!$P$4=3,VLOOKUP(CONCATENATE('DGNB LCA Results'!$M$3,"_",Q372), $A$2:$P$352,14,FALSE)*'DGNB LCA Results'!$N$3+
                                                                VLOOKUP(CONCATENATE('DGNB LCA Results'!$K$3,"_",Q372), $A$2:$P$352,14,FALSE)*'DGNB LCA Results'!$L$3+
                                                                VLOOKUP(CONCATENATE('DGNB LCA Results'!$I$3,"_",Q372),$A$2:$P$352,14,FALSE)*'DGNB LCA Results'!$J$3,
IF('DGNB LCA Results'!$P$4=2,VLOOKUP(CONCATENATE('DGNB LCA Results'!$M$3,"_",Q372), $A$2:$P$352,14,FALSE)*'DGNB LCA Results'!$N$3+
                                                                 VLOOKUP(CONCATENATE('DGNB LCA Results'!$K$3,"_",Q372),$A$2:$P$352,14,FALSE)*'DGNB LCA Results'!$L$3,
IF('DGNB LCA Results'!$P$4=1,VLOOKUP(CONCATENATE('DGNB LCA Results'!$M$3,"_",Q372), $A$2:$P$352,14,FALSE)*'DGNB LCA Results'!$N$3,0))))</f>
        <v>0</v>
      </c>
      <c r="O372" s="47">
        <f>IF('DGNB LCA Results'!$P$4=4,VLOOKUP(CONCATENATE('DGNB LCA Results'!$M$3,"_",Q372), $A$2:$P$352,15,FALSE)*'DGNB LCA Results'!$N$3+
                                                                  VLOOKUP(CONCATENATE('DGNB LCA Results'!$K$3,"_",Q372), $A$2:$P$352,15,FALSE)*'DGNB LCA Results'!$L$3+
                                                                  VLOOKUP(CONCATENATE('DGNB LCA Results'!$I$3,"_",Q372), $A$2:$P$352,15,FALSE)*'DGNB LCA Results'!$J$3+
                                                                  VLOOKUP(CONCATENATE('DGNB LCA Results'!$G$3,"_",Q372), $A$2:$P$352,15,FALSE)*'DGNB LCA Results'!$H$3,
IF('DGNB LCA Results'!$P$4=3,VLOOKUP(CONCATENATE('DGNB LCA Results'!$M$3,"_",Q372), $A$2:$P$352,15,FALSE)*'DGNB LCA Results'!$N$3+
                                                                VLOOKUP(CONCATENATE('DGNB LCA Results'!$K$3,"_",Q372), $A$2:$P$352,15,FALSE)*'DGNB LCA Results'!$L$3+
                                                                VLOOKUP(CONCATENATE('DGNB LCA Results'!$I$3,"_",Q372),$A$2:$P$352,15,FALSE)*'DGNB LCA Results'!$J$3,
IF('DGNB LCA Results'!$P$4=2,VLOOKUP(CONCATENATE('DGNB LCA Results'!$M$3,"_",Q372), $A$2:$P$352,15,FALSE)*'DGNB LCA Results'!$N$3+
                                                                 VLOOKUP(CONCATENATE('DGNB LCA Results'!$K$3,"_",Q372),$A$2:$P$352,15,FALSE)*'DGNB LCA Results'!$L$3,
IF('DGNB LCA Results'!$P$4=1,VLOOKUP(CONCATENATE('DGNB LCA Results'!$M$3,"_",Q372), $A$2:$P$352,15,FALSE)*'DGNB LCA Results'!$N$3,0))))</f>
        <v>0</v>
      </c>
      <c r="P372" s="121">
        <f>IF('DGNB LCA Results'!$P$4=4,VLOOKUP(CONCATENATE('DGNB LCA Results'!$M$3,"_",Q372), $A$2:$P$352,16,FALSE)*'DGNB LCA Results'!$N$3+
                                                                  VLOOKUP(CONCATENATE('DGNB LCA Results'!$K$3,"_",Q372), $A$2:$P$352,16,FALSE)*'DGNB LCA Results'!$L$3+
                                                                  VLOOKUP(CONCATENATE('DGNB LCA Results'!$I$3,"_",Q372), $A$2:$P$352,16,FALSE)*'DGNB LCA Results'!$J$3+
                                                                  VLOOKUP(CONCATENATE('DGNB LCA Results'!$G$3,"_",Q372), $A$2:$P$352,16,FALSE)*'DGNB LCA Results'!$H$3,
IF('DGNB LCA Results'!$P$4=3,VLOOKUP(CONCATENATE('DGNB LCA Results'!$M$3,"_",Q372), $A$2:$P$352,16,FALSE)*'DGNB LCA Results'!$N$3+
                                                                VLOOKUP(CONCATENATE('DGNB LCA Results'!$K$3,"_",Q372), $A$2:$P$352,16,FALSE)*'DGNB LCA Results'!$L$3+
                                                                VLOOKUP(CONCATENATE('DGNB LCA Results'!$I$3,"_",Q372),$A$2:$P$352,16,FALSE)*'DGNB LCA Results'!$J$3,
IF('DGNB LCA Results'!$P$4=2,VLOOKUP(CONCATENATE('DGNB LCA Results'!$M$3,"_",Q372), $A$2:$P$352,16,FALSE)*'DGNB LCA Results'!$N$3+
                                                                 VLOOKUP(CONCATENATE('DGNB LCA Results'!$K$3,"_",Q372),$A$2:$P$352,16,FALSE)*'DGNB LCA Results'!$L$3,
IF('DGNB LCA Results'!$P$4=1,VLOOKUP(CONCATENATE('DGNB LCA Results'!$M$3,"_",Q372), $A$2:$P$352,16,FALSE)*'DGNB LCA Results'!$N$3,0))))</f>
        <v>0</v>
      </c>
      <c r="Q372">
        <v>75</v>
      </c>
      <c r="R372" t="s">
        <v>193</v>
      </c>
    </row>
    <row r="373" spans="1:18" x14ac:dyDescent="0.2">
      <c r="A373" t="str">
        <f t="shared" si="7"/>
        <v>MIX12_80</v>
      </c>
      <c r="B373" s="120">
        <f>IF('DGNB LCA Results'!$P$4=4,VLOOKUP(CONCATENATE('DGNB LCA Results'!$M$3,"_",Q373), $A$2:$P$352,2,FALSE)*'DGNB LCA Results'!$N$3+
                                                                  VLOOKUP(CONCATENATE('DGNB LCA Results'!$K$3,"_",Q373), $A$2:$P$352,2,FALSE)*'DGNB LCA Results'!$L$3+
                                                                  VLOOKUP(CONCATENATE('DGNB LCA Results'!$I$3,"_",Q373), $A$2:$P$352,2,FALSE)*'DGNB LCA Results'!$J$3+
                                                                  VLOOKUP(CONCATENATE('DGNB LCA Results'!$G$3,"_",Q373), $A$2:$P$352,2,FALSE)*'DGNB LCA Results'!$H$3,
IF('DGNB LCA Results'!$P$4=3,VLOOKUP(CONCATENATE('DGNB LCA Results'!$M$3,"_",Q373), $A$2:$P$352,2,FALSE)*'DGNB LCA Results'!$N$3+
                                                                VLOOKUP(CONCATENATE('DGNB LCA Results'!$K$3,"_",Q373), $A$2:$P$352,2,FALSE)*'DGNB LCA Results'!$L$3+
                                                                VLOOKUP(CONCATENATE('DGNB LCA Results'!$I$3,"_",Q373),$A$2:$P$352,2,FALSE)*'DGNB LCA Results'!$J$3,
IF('DGNB LCA Results'!$P$4=2,VLOOKUP(CONCATENATE('DGNB LCA Results'!$M$3,"_",Q373), $A$2:$P$352,2,FALSE)*'DGNB LCA Results'!$N$3+
                                                                 VLOOKUP(CONCATENATE('DGNB LCA Results'!$K$3,"_",Q373),$A$2:$P$352,2,FALSE)*'DGNB LCA Results'!$L$3,
IF('DGNB LCA Results'!$P$4=1,VLOOKUP(CONCATENATE('DGNB LCA Results'!$M$3,"_",Q373), $A$2:$P$352,2,FALSE)*'DGNB LCA Results'!$N$3,0))))</f>
        <v>0</v>
      </c>
      <c r="C373" s="49">
        <f>IF('DGNB LCA Results'!$P$4=4,VLOOKUP(CONCATENATE('DGNB LCA Results'!$M$3,"_",Q373), $A$2:$P$352,3,FALSE)*'DGNB LCA Results'!$N$3+
                                                                  VLOOKUP(CONCATENATE('DGNB LCA Results'!$K$3,"_",Q373), $A$2:$P$352,3,FALSE)*'DGNB LCA Results'!$L$3+
                                                                  VLOOKUP(CONCATENATE('DGNB LCA Results'!$I$3,"_",Q373), $A$2:$P$352,3,FALSE)*'DGNB LCA Results'!$J$3+
                                                                  VLOOKUP(CONCATENATE('DGNB LCA Results'!$G$3,"_",Q373), $A$2:$P$352,3,FALSE)*'DGNB LCA Results'!$H$3,
IF('DGNB LCA Results'!$P$4=3,VLOOKUP(CONCATENATE('DGNB LCA Results'!$M$3,"_",Q373), $A$2:$P$352,3,FALSE)*'DGNB LCA Results'!$N$3+
                                                                VLOOKUP(CONCATENATE('DGNB LCA Results'!$K$3,"_",Q373), $A$2:$P$352,3,FALSE)*'DGNB LCA Results'!$L$3+
                                                                VLOOKUP(CONCATENATE('DGNB LCA Results'!$I$3,"_",Q373),$A$2:$P$352,3,FALSE)*'DGNB LCA Results'!$J$3,
IF('DGNB LCA Results'!$P$4=2,VLOOKUP(CONCATENATE('DGNB LCA Results'!$M$3,"_",Q373), $A$2:$P$352,3,FALSE)*'DGNB LCA Results'!$N$3+
                                                                 VLOOKUP(CONCATENATE('DGNB LCA Results'!$K$3,"_",Q373),$A$2:$P$352,3,FALSE)*'DGNB LCA Results'!$L$3,
IF('DGNB LCA Results'!$P$4=1,VLOOKUP(CONCATENATE('DGNB LCA Results'!$M$3,"_",Q373), $A$2:$P$352,3,FALSE)*'DGNB LCA Results'!$N$3,0))))</f>
        <v>0</v>
      </c>
      <c r="D373" s="49">
        <f>IF('DGNB LCA Results'!$P$4=4,VLOOKUP(CONCATENATE('DGNB LCA Results'!$M$3,"_",Q373), $A$2:$P$352,4,FALSE)*'DGNB LCA Results'!$N$3+
                                                                  VLOOKUP(CONCATENATE('DGNB LCA Results'!$K$3,"_",Q373), $A$2:$P$352,4,FALSE)*'DGNB LCA Results'!$L$3+
                                                                  VLOOKUP(CONCATENATE('DGNB LCA Results'!$I$3,"_",Q373), $A$2:$P$352,4,FALSE)*'DGNB LCA Results'!$J$3+
                                                                  VLOOKUP(CONCATENATE('DGNB LCA Results'!$G$3,"_",Q373), $A$2:$P$352,4,FALSE)*'DGNB LCA Results'!$H$3,
IF('DGNB LCA Results'!$P$4=3,VLOOKUP(CONCATENATE('DGNB LCA Results'!$M$3,"_",Q373), $A$2:$P$352,4,FALSE)*'DGNB LCA Results'!$N$3+
                                                                VLOOKUP(CONCATENATE('DGNB LCA Results'!$K$3,"_",Q373), $A$2:$P$352,4,FALSE)*'DGNB LCA Results'!$L$3+
                                                                VLOOKUP(CONCATENATE('DGNB LCA Results'!$I$3,"_",Q373),$A$2:$P$352,4,FALSE)*'DGNB LCA Results'!$J$3,
IF('DGNB LCA Results'!$P$4=2,VLOOKUP(CONCATENATE('DGNB LCA Results'!$M$3,"_",Q373), $A$2:$P$352,4,FALSE)*'DGNB LCA Results'!$N$3+
                                                                 VLOOKUP(CONCATENATE('DGNB LCA Results'!$K$3,"_",Q373),$A$2:$P$352,4,FALSE)*'DGNB LCA Results'!$L$3,
IF('DGNB LCA Results'!$P$4=1,VLOOKUP(CONCATENATE('DGNB LCA Results'!$M$3,"_",Q373), $A$2:$P$352,4,FALSE)*'DGNB LCA Results'!$N$3,0))))</f>
        <v>0</v>
      </c>
      <c r="E373" s="120">
        <f>IF('DGNB LCA Results'!$P$4=4,VLOOKUP(CONCATENATE('DGNB LCA Results'!$M$3,"_",Q373), $A$2:$P$352,5,FALSE)*'DGNB LCA Results'!$N$3+
                                                                  VLOOKUP(CONCATENATE('DGNB LCA Results'!$K$3,"_",Q373), $A$2:$P$352,5,FALSE)*'DGNB LCA Results'!$L$3+
                                                                  VLOOKUP(CONCATENATE('DGNB LCA Results'!$I$3,"_",Q373), $A$2:$P$352,5,FALSE)*'DGNB LCA Results'!$J$3+
                                                                  VLOOKUP(CONCATENATE('DGNB LCA Results'!$G$3,"_",Q373), $A$2:$P$352,5,FALSE)*'DGNB LCA Results'!$H$3,
IF('DGNB LCA Results'!$P$4=3,VLOOKUP(CONCATENATE('DGNB LCA Results'!$M$3,"_",Q373), $A$2:$P$352,5,FALSE)*'DGNB LCA Results'!$N$3+
                                                                VLOOKUP(CONCATENATE('DGNB LCA Results'!$K$3,"_",Q373), $A$2:$P$352,5,FALSE)*'DGNB LCA Results'!$L$3+
                                                                VLOOKUP(CONCATENATE('DGNB LCA Results'!$I$3,"_",Q373),$A$2:$P$352,5,FALSE)*'DGNB LCA Results'!$J$3,
IF('DGNB LCA Results'!$P$4=2,VLOOKUP(CONCATENATE('DGNB LCA Results'!$M$3,"_",Q373), $A$2:$P$352,5,FALSE)*'DGNB LCA Results'!$N$3+
                                                                 VLOOKUP(CONCATENATE('DGNB LCA Results'!$K$3,"_",Q373),$A$2:$P$352,5,FALSE)*'DGNB LCA Results'!$L$3,
IF('DGNB LCA Results'!$P$4=1,VLOOKUP(CONCATENATE('DGNB LCA Results'!$M$3,"_",Q373), $A$2:$P$352,5,FALSE)*'DGNB LCA Results'!$N$3,0))))</f>
        <v>0</v>
      </c>
      <c r="F373" s="47">
        <f>IF('DGNB LCA Results'!$P$4=4,VLOOKUP(CONCATENATE('DGNB LCA Results'!$M$3,"_",Q373), $A$2:$P$352,6,FALSE)*'DGNB LCA Results'!$N$3+
                                                                  VLOOKUP(CONCATENATE('DGNB LCA Results'!$K$3,"_",Q373), $A$2:$P$352,6,FALSE)*'DGNB LCA Results'!$L$3+
                                                                  VLOOKUP(CONCATENATE('DGNB LCA Results'!$I$3,"_",Q373), $A$2:$P$352,6,FALSE)*'DGNB LCA Results'!$J$3+
                                                                  VLOOKUP(CONCATENATE('DGNB LCA Results'!$G$3,"_",Q373), $A$2:$P$352,6,FALSE)*'DGNB LCA Results'!$H$3,
IF('DGNB LCA Results'!$P$4=3,VLOOKUP(CONCATENATE('DGNB LCA Results'!$M$3,"_",Q373), $A$2:$P$352,6,FALSE)*'DGNB LCA Results'!$N$3+
                                                                VLOOKUP(CONCATENATE('DGNB LCA Results'!$K$3,"_",Q373), $A$2:$P$352,6,FALSE)*'DGNB LCA Results'!$L$3+
                                                                VLOOKUP(CONCATENATE('DGNB LCA Results'!$I$3,"_",Q373),$A$2:$P$352,6,FALSE)*'DGNB LCA Results'!$J$3,
IF('DGNB LCA Results'!$P$4=2,VLOOKUP(CONCATENATE('DGNB LCA Results'!$M$3,"_",Q373), $A$2:$P$352,6,FALSE)*'DGNB LCA Results'!$N$3+
                                                                 VLOOKUP(CONCATENATE('DGNB LCA Results'!$K$3,"_",Q373),$A$2:$P$352,6,FALSE)*'DGNB LCA Results'!$L$3,
IF('DGNB LCA Results'!$P$4=1,VLOOKUP(CONCATENATE('DGNB LCA Results'!$M$3,"_",Q373), $A$2:$P$352,6,FALSE)*'DGNB LCA Results'!$N$3,0))))</f>
        <v>0</v>
      </c>
      <c r="G373" s="121">
        <f>IF('DGNB LCA Results'!$P$4=4,VLOOKUP(CONCATENATE('DGNB LCA Results'!$M$3,"_",Q373), $A$2:$P$352,7,FALSE)*'DGNB LCA Results'!$N$3+
                                                                  VLOOKUP(CONCATENATE('DGNB LCA Results'!$K$3,"_",Q373), $A$2:$P$352,7,FALSE)*'DGNB LCA Results'!$L$3+
                                                                  VLOOKUP(CONCATENATE('DGNB LCA Results'!$I$3,"_",Q373), $A$2:$P$352,7,FALSE)*'DGNB LCA Results'!$J$3+
                                                                  VLOOKUP(CONCATENATE('DGNB LCA Results'!$G$3,"_",Q373), $A$2:$P$352,7,FALSE)*'DGNB LCA Results'!$H$3,
IF('DGNB LCA Results'!$P$4=3,VLOOKUP(CONCATENATE('DGNB LCA Results'!$M$3,"_",Q373), $A$2:$P$352,7,FALSE)*'DGNB LCA Results'!$N$3+
                                                                VLOOKUP(CONCATENATE('DGNB LCA Results'!$K$3,"_",Q373), $A$2:$P$352,7,FALSE)*'DGNB LCA Results'!$L$3+
                                                                VLOOKUP(CONCATENATE('DGNB LCA Results'!$I$3,"_",Q373),$A$2:$P$352,7,FALSE)*'DGNB LCA Results'!$J$3,
IF('DGNB LCA Results'!$P$4=2,VLOOKUP(CONCATENATE('DGNB LCA Results'!$M$3,"_",Q373), $A$2:$P$352,7,FALSE)*'DGNB LCA Results'!$N$3+
                                                                 VLOOKUP(CONCATENATE('DGNB LCA Results'!$K$3,"_",Q373),$A$2:$P$352,7,FALSE)*'DGNB LCA Results'!$L$3,
IF('DGNB LCA Results'!$P$4=1,VLOOKUP(CONCATENATE('DGNB LCA Results'!$M$3,"_",Q373), $A$2:$P$352,7,FALSE)*'DGNB LCA Results'!$N$3,0))))</f>
        <v>0</v>
      </c>
      <c r="H373" s="120">
        <f>IF('DGNB LCA Results'!$P$4=4,VLOOKUP(CONCATENATE('DGNB LCA Results'!$M$3,"_",Q373), $A$2:$P$352,8,FALSE)*'DGNB LCA Results'!$N$3+
                                                                  VLOOKUP(CONCATENATE('DGNB LCA Results'!$K$3,"_",Q373), $A$2:$P$352,8,FALSE)*'DGNB LCA Results'!$L$3+
                                                                  VLOOKUP(CONCATENATE('DGNB LCA Results'!$I$3,"_",Q373), $A$2:$P$352,8,FALSE)*'DGNB LCA Results'!$J$3+
                                                                  VLOOKUP(CONCATENATE('DGNB LCA Results'!$G$3,"_",Q373), $A$2:$P$352,8,FALSE)*'DGNB LCA Results'!$H$3,
IF('DGNB LCA Results'!$P$4=3,VLOOKUP(CONCATENATE('DGNB LCA Results'!$M$3,"_",Q373), $A$2:$P$352,8,FALSE)*'DGNB LCA Results'!$N$3+
                                                                VLOOKUP(CONCATENATE('DGNB LCA Results'!$K$3,"_",Q373), $A$2:$P$352,8,FALSE)*'DGNB LCA Results'!$L$3+
                                                                VLOOKUP(CONCATENATE('DGNB LCA Results'!$I$3,"_",Q373),$A$2:$P$352,8,FALSE)*'DGNB LCA Results'!$J$3,
IF('DGNB LCA Results'!$P$4=2,VLOOKUP(CONCATENATE('DGNB LCA Results'!$M$3,"_",Q373), $A$2:$P$352,8,FALSE)*'DGNB LCA Results'!$N$3+
                                                                 VLOOKUP(CONCATENATE('DGNB LCA Results'!$K$3,"_",Q373),$A$2:$P$352,8,FALSE)*'DGNB LCA Results'!$L$3,
IF('DGNB LCA Results'!$P$4=1,VLOOKUP(CONCATENATE('DGNB LCA Results'!$M$3,"_",Q373), $A$2:$P$352,8,FALSE)*'DGNB LCA Results'!$N$3,0))))</f>
        <v>0</v>
      </c>
      <c r="I373" s="47">
        <f>IF('DGNB LCA Results'!$P$4=4,VLOOKUP(CONCATENATE('DGNB LCA Results'!$M$3,"_",Q373), $A$2:$P$352,9,FALSE)*'DGNB LCA Results'!$N$3+
                                                                  VLOOKUP(CONCATENATE('DGNB LCA Results'!$K$3,"_",Q373), $A$2:$P$352,9,FALSE)*'DGNB LCA Results'!$L$3+
                                                                  VLOOKUP(CONCATENATE('DGNB LCA Results'!$I$3,"_",Q373), $A$2:$P$352,9,FALSE)*'DGNB LCA Results'!$J$3+
                                                                  VLOOKUP(CONCATENATE('DGNB LCA Results'!$G$3,"_",Q373), $A$2:$P$352,9,FALSE)*'DGNB LCA Results'!$H$3,
IF('DGNB LCA Results'!$P$4=3,VLOOKUP(CONCATENATE('DGNB LCA Results'!$M$3,"_",Q373), $A$2:$P$352,9,FALSE)*'DGNB LCA Results'!$N$3+
                                                                VLOOKUP(CONCATENATE('DGNB LCA Results'!$K$3,"_",Q373), $A$2:$P$352,9,FALSE)*'DGNB LCA Results'!$L$3+
                                                                VLOOKUP(CONCATENATE('DGNB LCA Results'!$I$3,"_",Q373),$A$2:$P$352,9,FALSE)*'DGNB LCA Results'!$J$3,
IF('DGNB LCA Results'!$P$4=2,VLOOKUP(CONCATENATE('DGNB LCA Results'!$M$3,"_",Q373), $A$2:$P$352,9,FALSE)*'DGNB LCA Results'!$N$3+
                                                                 VLOOKUP(CONCATENATE('DGNB LCA Results'!$K$3,"_",Q373),$A$2:$P$352,9,FALSE)*'DGNB LCA Results'!$L$3,
IF('DGNB LCA Results'!$P$4=1,VLOOKUP(CONCATENATE('DGNB LCA Results'!$M$3,"_",Q373), $A$2:$P$352,9,FALSE)*'DGNB LCA Results'!$N$3,0))))</f>
        <v>0</v>
      </c>
      <c r="J373" s="121">
        <f>IF('DGNB LCA Results'!$P$4=4,VLOOKUP(CONCATENATE('DGNB LCA Results'!$M$3,"_",Q373), $A$2:$P$352,10,FALSE)*'DGNB LCA Results'!$N$3+
                                                                  VLOOKUP(CONCATENATE('DGNB LCA Results'!$K$3,"_",Q373), $A$2:$P$352,10,FALSE)*'DGNB LCA Results'!$L$3+
                                                                  VLOOKUP(CONCATENATE('DGNB LCA Results'!$I$3,"_",Q373), $A$2:$P$352,10,FALSE)*'DGNB LCA Results'!$J$3+
                                                                  VLOOKUP(CONCATENATE('DGNB LCA Results'!$G$3,"_",Q373), $A$2:$P$352,10,FALSE)*'DGNB LCA Results'!$H$3,
IF('DGNB LCA Results'!$P$4=3,VLOOKUP(CONCATENATE('DGNB LCA Results'!$M$3,"_",Q373), $A$2:$P$352,10,FALSE)*'DGNB LCA Results'!$N$3+
                                                                VLOOKUP(CONCATENATE('DGNB LCA Results'!$K$3,"_",Q373), $A$2:$P$352,10,FALSE)*'DGNB LCA Results'!$L$3+
                                                                VLOOKUP(CONCATENATE('DGNB LCA Results'!$I$3,"_",Q373),$A$2:$P$352,10,FALSE)*'DGNB LCA Results'!$J$3,
IF('DGNB LCA Results'!$P$4=2,VLOOKUP(CONCATENATE('DGNB LCA Results'!$M$3,"_",Q373), $A$2:$P$352,10,FALSE)*'DGNB LCA Results'!$N$3+
                                                                 VLOOKUP(CONCATENATE('DGNB LCA Results'!$K$3,"_",Q373),$A$2:$P$352,10,FALSE)*'DGNB LCA Results'!$L$3,
IF('DGNB LCA Results'!$P$4=1,VLOOKUP(CONCATENATE('DGNB LCA Results'!$M$3,"_",Q373), $A$2:$P$352,10,FALSE)*'DGNB LCA Results'!$N$3,0))))</f>
        <v>0</v>
      </c>
      <c r="K373" s="120">
        <f>IF('DGNB LCA Results'!$P$4=4,VLOOKUP(CONCATENATE('DGNB LCA Results'!$M$3,"_",Q373), $A$2:$P$352,11,FALSE)*'DGNB LCA Results'!$N$3+
                                                                  VLOOKUP(CONCATENATE('DGNB LCA Results'!$K$3,"_",Q373), $A$2:$P$352,11,FALSE)*'DGNB LCA Results'!$L$3+
                                                                  VLOOKUP(CONCATENATE('DGNB LCA Results'!$I$3,"_",Q373), $A$2:$P$352,11,FALSE)*'DGNB LCA Results'!$J$3+
                                                                  VLOOKUP(CONCATENATE('DGNB LCA Results'!$G$3,"_",Q373), $A$2:$P$352,11,FALSE)*'DGNB LCA Results'!$H$3,
IF('DGNB LCA Results'!$P$4=3,VLOOKUP(CONCATENATE('DGNB LCA Results'!$M$3,"_",Q373), $A$2:$P$352,11,FALSE)*'DGNB LCA Results'!$N$3+
                                                                VLOOKUP(CONCATENATE('DGNB LCA Results'!$K$3,"_",Q373), $A$2:$P$352,11,FALSE)*'DGNB LCA Results'!$L$3+
                                                                VLOOKUP(CONCATENATE('DGNB LCA Results'!$I$3,"_",Q373),$A$2:$P$352,11,FALSE)*'DGNB LCA Results'!$J$3,
IF('DGNB LCA Results'!$P$4=2,VLOOKUP(CONCATENATE('DGNB LCA Results'!$M$3,"_",Q373), $A$2:$P$352,11,FALSE)*'DGNB LCA Results'!$N$3+
                                                                 VLOOKUP(CONCATENATE('DGNB LCA Results'!$K$3,"_",Q373),$A$2:$P$352,11,FALSE)*'DGNB LCA Results'!$L$3,
IF('DGNB LCA Results'!$P$4=1,VLOOKUP(CONCATENATE('DGNB LCA Results'!$M$3,"_",Q373), $A$2:$P$352,11,FALSE)*'DGNB LCA Results'!$N$3,0))))</f>
        <v>0</v>
      </c>
      <c r="L373" s="47">
        <f>IF('DGNB LCA Results'!$P$4=4,VLOOKUP(CONCATENATE('DGNB LCA Results'!$M$3,"_",Q373), $A$2:$P$352,12,FALSE)*'DGNB LCA Results'!$N$3+
                                                                  VLOOKUP(CONCATENATE('DGNB LCA Results'!$K$3,"_",Q373), $A$2:$P$352,12,FALSE)*'DGNB LCA Results'!$L$3+
                                                                  VLOOKUP(CONCATENATE('DGNB LCA Results'!$I$3,"_",Q373), $A$2:$P$352,12,FALSE)*'DGNB LCA Results'!$J$3+
                                                                  VLOOKUP(CONCATENATE('DGNB LCA Results'!$G$3,"_",Q373), $A$2:$P$352,12,FALSE)*'DGNB LCA Results'!$H$3,
IF('DGNB LCA Results'!$P$4=3,VLOOKUP(CONCATENATE('DGNB LCA Results'!$M$3,"_",Q373), $A$2:$P$352,12,FALSE)*'DGNB LCA Results'!$N$3+
                                                                VLOOKUP(CONCATENATE('DGNB LCA Results'!$K$3,"_",Q373), $A$2:$P$352,12,FALSE)*'DGNB LCA Results'!$L$3+
                                                                VLOOKUP(CONCATENATE('DGNB LCA Results'!$I$3,"_",Q373),$A$2:$P$352,12,FALSE)*'DGNB LCA Results'!$J$3,
IF('DGNB LCA Results'!$P$4=2,VLOOKUP(CONCATENATE('DGNB LCA Results'!$M$3,"_",Q373), $A$2:$P$352,12,FALSE)*'DGNB LCA Results'!$N$3+
                                                                 VLOOKUP(CONCATENATE('DGNB LCA Results'!$K$3,"_",Q373),$A$2:$P$352,12,FALSE)*'DGNB LCA Results'!$L$3,
IF('DGNB LCA Results'!$P$4=1,VLOOKUP(CONCATENATE('DGNB LCA Results'!$M$3,"_",Q373), $A$2:$P$352,12,FALSE)*'DGNB LCA Results'!$N$3,0))))</f>
        <v>0</v>
      </c>
      <c r="M373" s="121">
        <f>IF('DGNB LCA Results'!$P$4=4,VLOOKUP(CONCATENATE('DGNB LCA Results'!$M$3,"_",Q373), $A$2:$P$352,13,FALSE)*'DGNB LCA Results'!$N$3+
                                                                  VLOOKUP(CONCATENATE('DGNB LCA Results'!$K$3,"_",Q373), $A$2:$P$352,13,FALSE)*'DGNB LCA Results'!$L$3+
                                                                  VLOOKUP(CONCATENATE('DGNB LCA Results'!$I$3,"_",Q373), $A$2:$P$352,13,FALSE)*'DGNB LCA Results'!$J$3+
                                                                  VLOOKUP(CONCATENATE('DGNB LCA Results'!$G$3,"_",Q373), $A$2:$P$352,13,FALSE)*'DGNB LCA Results'!$H$3,
IF('DGNB LCA Results'!$P$4=3,VLOOKUP(CONCATENATE('DGNB LCA Results'!$M$3,"_",Q373), $A$2:$P$352,13,FALSE)*'DGNB LCA Results'!$N$3+
                                                                VLOOKUP(CONCATENATE('DGNB LCA Results'!$K$3,"_",Q373), $A$2:$P$352,13,FALSE)*'DGNB LCA Results'!$L$3+
                                                                VLOOKUP(CONCATENATE('DGNB LCA Results'!$I$3,"_",Q373),$A$2:$P$352,13,FALSE)*'DGNB LCA Results'!$J$3,
IF('DGNB LCA Results'!$P$4=2,VLOOKUP(CONCATENATE('DGNB LCA Results'!$M$3,"_",Q373), $A$2:$P$352,13,FALSE)*'DGNB LCA Results'!$N$3+
                                                                 VLOOKUP(CONCATENATE('DGNB LCA Results'!$K$3,"_",Q373),$A$2:$P$352,13,FALSE)*'DGNB LCA Results'!$L$3,
IF('DGNB LCA Results'!$P$4=1,VLOOKUP(CONCATENATE('DGNB LCA Results'!$M$3,"_",Q373), $A$2:$P$352,13,FALSE)*'DGNB LCA Results'!$N$3,0))))</f>
        <v>0</v>
      </c>
      <c r="N373" s="120">
        <f>IF('DGNB LCA Results'!$P$4=4,VLOOKUP(CONCATENATE('DGNB LCA Results'!$M$3,"_",Q373), $A$2:$P$352,14,FALSE)*'DGNB LCA Results'!$N$3+
                                                                  VLOOKUP(CONCATENATE('DGNB LCA Results'!$K$3,"_",Q373), $A$2:$P$352,14,FALSE)*'DGNB LCA Results'!$L$3+
                                                                  VLOOKUP(CONCATENATE('DGNB LCA Results'!$I$3,"_",Q373), $A$2:$P$352,14,FALSE)*'DGNB LCA Results'!$J$3+
                                                                  VLOOKUP(CONCATENATE('DGNB LCA Results'!$G$3,"_",Q373), $A$2:$P$352,14,FALSE)*'DGNB LCA Results'!$H$3,
IF('DGNB LCA Results'!$P$4=3,VLOOKUP(CONCATENATE('DGNB LCA Results'!$M$3,"_",Q373), $A$2:$P$352,14,FALSE)*'DGNB LCA Results'!$N$3+
                                                                VLOOKUP(CONCATENATE('DGNB LCA Results'!$K$3,"_",Q373), $A$2:$P$352,14,FALSE)*'DGNB LCA Results'!$L$3+
                                                                VLOOKUP(CONCATENATE('DGNB LCA Results'!$I$3,"_",Q373),$A$2:$P$352,14,FALSE)*'DGNB LCA Results'!$J$3,
IF('DGNB LCA Results'!$P$4=2,VLOOKUP(CONCATENATE('DGNB LCA Results'!$M$3,"_",Q373), $A$2:$P$352,14,FALSE)*'DGNB LCA Results'!$N$3+
                                                                 VLOOKUP(CONCATENATE('DGNB LCA Results'!$K$3,"_",Q373),$A$2:$P$352,14,FALSE)*'DGNB LCA Results'!$L$3,
IF('DGNB LCA Results'!$P$4=1,VLOOKUP(CONCATENATE('DGNB LCA Results'!$M$3,"_",Q373), $A$2:$P$352,14,FALSE)*'DGNB LCA Results'!$N$3,0))))</f>
        <v>0</v>
      </c>
      <c r="O373" s="47">
        <f>IF('DGNB LCA Results'!$P$4=4,VLOOKUP(CONCATENATE('DGNB LCA Results'!$M$3,"_",Q373), $A$2:$P$352,15,FALSE)*'DGNB LCA Results'!$N$3+
                                                                  VLOOKUP(CONCATENATE('DGNB LCA Results'!$K$3,"_",Q373), $A$2:$P$352,15,FALSE)*'DGNB LCA Results'!$L$3+
                                                                  VLOOKUP(CONCATENATE('DGNB LCA Results'!$I$3,"_",Q373), $A$2:$P$352,15,FALSE)*'DGNB LCA Results'!$J$3+
                                                                  VLOOKUP(CONCATENATE('DGNB LCA Results'!$G$3,"_",Q373), $A$2:$P$352,15,FALSE)*'DGNB LCA Results'!$H$3,
IF('DGNB LCA Results'!$P$4=3,VLOOKUP(CONCATENATE('DGNB LCA Results'!$M$3,"_",Q373), $A$2:$P$352,15,FALSE)*'DGNB LCA Results'!$N$3+
                                                                VLOOKUP(CONCATENATE('DGNB LCA Results'!$K$3,"_",Q373), $A$2:$P$352,15,FALSE)*'DGNB LCA Results'!$L$3+
                                                                VLOOKUP(CONCATENATE('DGNB LCA Results'!$I$3,"_",Q373),$A$2:$P$352,15,FALSE)*'DGNB LCA Results'!$J$3,
IF('DGNB LCA Results'!$P$4=2,VLOOKUP(CONCATENATE('DGNB LCA Results'!$M$3,"_",Q373), $A$2:$P$352,15,FALSE)*'DGNB LCA Results'!$N$3+
                                                                 VLOOKUP(CONCATENATE('DGNB LCA Results'!$K$3,"_",Q373),$A$2:$P$352,15,FALSE)*'DGNB LCA Results'!$L$3,
IF('DGNB LCA Results'!$P$4=1,VLOOKUP(CONCATENATE('DGNB LCA Results'!$M$3,"_",Q373), $A$2:$P$352,15,FALSE)*'DGNB LCA Results'!$N$3,0))))</f>
        <v>0</v>
      </c>
      <c r="P373" s="121">
        <f>IF('DGNB LCA Results'!$P$4=4,VLOOKUP(CONCATENATE('DGNB LCA Results'!$M$3,"_",Q373), $A$2:$P$352,16,FALSE)*'DGNB LCA Results'!$N$3+
                                                                  VLOOKUP(CONCATENATE('DGNB LCA Results'!$K$3,"_",Q373), $A$2:$P$352,16,FALSE)*'DGNB LCA Results'!$L$3+
                                                                  VLOOKUP(CONCATENATE('DGNB LCA Results'!$I$3,"_",Q373), $A$2:$P$352,16,FALSE)*'DGNB LCA Results'!$J$3+
                                                                  VLOOKUP(CONCATENATE('DGNB LCA Results'!$G$3,"_",Q373), $A$2:$P$352,16,FALSE)*'DGNB LCA Results'!$H$3,
IF('DGNB LCA Results'!$P$4=3,VLOOKUP(CONCATENATE('DGNB LCA Results'!$M$3,"_",Q373), $A$2:$P$352,16,FALSE)*'DGNB LCA Results'!$N$3+
                                                                VLOOKUP(CONCATENATE('DGNB LCA Results'!$K$3,"_",Q373), $A$2:$P$352,16,FALSE)*'DGNB LCA Results'!$L$3+
                                                                VLOOKUP(CONCATENATE('DGNB LCA Results'!$I$3,"_",Q373),$A$2:$P$352,16,FALSE)*'DGNB LCA Results'!$J$3,
IF('DGNB LCA Results'!$P$4=2,VLOOKUP(CONCATENATE('DGNB LCA Results'!$M$3,"_",Q373), $A$2:$P$352,16,FALSE)*'DGNB LCA Results'!$N$3+
                                                                 VLOOKUP(CONCATENATE('DGNB LCA Results'!$K$3,"_",Q373),$A$2:$P$352,16,FALSE)*'DGNB LCA Results'!$L$3,
IF('DGNB LCA Results'!$P$4=1,VLOOKUP(CONCATENATE('DGNB LCA Results'!$M$3,"_",Q373), $A$2:$P$352,16,FALSE)*'DGNB LCA Results'!$N$3,0))))</f>
        <v>0</v>
      </c>
      <c r="Q373">
        <v>80</v>
      </c>
      <c r="R373" t="s">
        <v>193</v>
      </c>
    </row>
    <row r="374" spans="1:18" x14ac:dyDescent="0.2">
      <c r="A374" t="str">
        <f t="shared" si="7"/>
        <v>MIX12_90</v>
      </c>
      <c r="B374" s="120">
        <f>IF('DGNB LCA Results'!$P$4=4,VLOOKUP(CONCATENATE('DGNB LCA Results'!$M$3,"_",Q374), $A$2:$P$352,2,FALSE)*'DGNB LCA Results'!$N$3+
                                                                  VLOOKUP(CONCATENATE('DGNB LCA Results'!$K$3,"_",Q374), $A$2:$P$352,2,FALSE)*'DGNB LCA Results'!$L$3+
                                                                  VLOOKUP(CONCATENATE('DGNB LCA Results'!$I$3,"_",Q374), $A$2:$P$352,2,FALSE)*'DGNB LCA Results'!$J$3+
                                                                  VLOOKUP(CONCATENATE('DGNB LCA Results'!$G$3,"_",Q374), $A$2:$P$352,2,FALSE)*'DGNB LCA Results'!$H$3,
IF('DGNB LCA Results'!$P$4=3,VLOOKUP(CONCATENATE('DGNB LCA Results'!$M$3,"_",Q374), $A$2:$P$352,2,FALSE)*'DGNB LCA Results'!$N$3+
                                                                VLOOKUP(CONCATENATE('DGNB LCA Results'!$K$3,"_",Q374), $A$2:$P$352,2,FALSE)*'DGNB LCA Results'!$L$3+
                                                                VLOOKUP(CONCATENATE('DGNB LCA Results'!$I$3,"_",Q374),$A$2:$P$352,2,FALSE)*'DGNB LCA Results'!$J$3,
IF('DGNB LCA Results'!$P$4=2,VLOOKUP(CONCATENATE('DGNB LCA Results'!$M$3,"_",Q374), $A$2:$P$352,2,FALSE)*'DGNB LCA Results'!$N$3+
                                                                 VLOOKUP(CONCATENATE('DGNB LCA Results'!$K$3,"_",Q374),$A$2:$P$352,2,FALSE)*'DGNB LCA Results'!$L$3,
IF('DGNB LCA Results'!$P$4=1,VLOOKUP(CONCATENATE('DGNB LCA Results'!$M$3,"_",Q374), $A$2:$P$352,2,FALSE)*'DGNB LCA Results'!$N$3,0))))</f>
        <v>0</v>
      </c>
      <c r="C374" s="49">
        <f>IF('DGNB LCA Results'!$P$4=4,VLOOKUP(CONCATENATE('DGNB LCA Results'!$M$3,"_",Q374), $A$2:$P$352,3,FALSE)*'DGNB LCA Results'!$N$3+
                                                                  VLOOKUP(CONCATENATE('DGNB LCA Results'!$K$3,"_",Q374), $A$2:$P$352,3,FALSE)*'DGNB LCA Results'!$L$3+
                                                                  VLOOKUP(CONCATENATE('DGNB LCA Results'!$I$3,"_",Q374), $A$2:$P$352,3,FALSE)*'DGNB LCA Results'!$J$3+
                                                                  VLOOKUP(CONCATENATE('DGNB LCA Results'!$G$3,"_",Q374), $A$2:$P$352,3,FALSE)*'DGNB LCA Results'!$H$3,
IF('DGNB LCA Results'!$P$4=3,VLOOKUP(CONCATENATE('DGNB LCA Results'!$M$3,"_",Q374), $A$2:$P$352,3,FALSE)*'DGNB LCA Results'!$N$3+
                                                                VLOOKUP(CONCATENATE('DGNB LCA Results'!$K$3,"_",Q374), $A$2:$P$352,3,FALSE)*'DGNB LCA Results'!$L$3+
                                                                VLOOKUP(CONCATENATE('DGNB LCA Results'!$I$3,"_",Q374),$A$2:$P$352,3,FALSE)*'DGNB LCA Results'!$J$3,
IF('DGNB LCA Results'!$P$4=2,VLOOKUP(CONCATENATE('DGNB LCA Results'!$M$3,"_",Q374), $A$2:$P$352,3,FALSE)*'DGNB LCA Results'!$N$3+
                                                                 VLOOKUP(CONCATENATE('DGNB LCA Results'!$K$3,"_",Q374),$A$2:$P$352,3,FALSE)*'DGNB LCA Results'!$L$3,
IF('DGNB LCA Results'!$P$4=1,VLOOKUP(CONCATENATE('DGNB LCA Results'!$M$3,"_",Q374), $A$2:$P$352,3,FALSE)*'DGNB LCA Results'!$N$3,0))))</f>
        <v>0</v>
      </c>
      <c r="D374" s="49">
        <f>IF('DGNB LCA Results'!$P$4=4,VLOOKUP(CONCATENATE('DGNB LCA Results'!$M$3,"_",Q374), $A$2:$P$352,4,FALSE)*'DGNB LCA Results'!$N$3+
                                                                  VLOOKUP(CONCATENATE('DGNB LCA Results'!$K$3,"_",Q374), $A$2:$P$352,4,FALSE)*'DGNB LCA Results'!$L$3+
                                                                  VLOOKUP(CONCATENATE('DGNB LCA Results'!$I$3,"_",Q374), $A$2:$P$352,4,FALSE)*'DGNB LCA Results'!$J$3+
                                                                  VLOOKUP(CONCATENATE('DGNB LCA Results'!$G$3,"_",Q374), $A$2:$P$352,4,FALSE)*'DGNB LCA Results'!$H$3,
IF('DGNB LCA Results'!$P$4=3,VLOOKUP(CONCATENATE('DGNB LCA Results'!$M$3,"_",Q374), $A$2:$P$352,4,FALSE)*'DGNB LCA Results'!$N$3+
                                                                VLOOKUP(CONCATENATE('DGNB LCA Results'!$K$3,"_",Q374), $A$2:$P$352,4,FALSE)*'DGNB LCA Results'!$L$3+
                                                                VLOOKUP(CONCATENATE('DGNB LCA Results'!$I$3,"_",Q374),$A$2:$P$352,4,FALSE)*'DGNB LCA Results'!$J$3,
IF('DGNB LCA Results'!$P$4=2,VLOOKUP(CONCATENATE('DGNB LCA Results'!$M$3,"_",Q374), $A$2:$P$352,4,FALSE)*'DGNB LCA Results'!$N$3+
                                                                 VLOOKUP(CONCATENATE('DGNB LCA Results'!$K$3,"_",Q374),$A$2:$P$352,4,FALSE)*'DGNB LCA Results'!$L$3,
IF('DGNB LCA Results'!$P$4=1,VLOOKUP(CONCATENATE('DGNB LCA Results'!$M$3,"_",Q374), $A$2:$P$352,4,FALSE)*'DGNB LCA Results'!$N$3,0))))</f>
        <v>0</v>
      </c>
      <c r="E374" s="120">
        <f>IF('DGNB LCA Results'!$P$4=4,VLOOKUP(CONCATENATE('DGNB LCA Results'!$M$3,"_",Q374), $A$2:$P$352,5,FALSE)*'DGNB LCA Results'!$N$3+
                                                                  VLOOKUP(CONCATENATE('DGNB LCA Results'!$K$3,"_",Q374), $A$2:$P$352,5,FALSE)*'DGNB LCA Results'!$L$3+
                                                                  VLOOKUP(CONCATENATE('DGNB LCA Results'!$I$3,"_",Q374), $A$2:$P$352,5,FALSE)*'DGNB LCA Results'!$J$3+
                                                                  VLOOKUP(CONCATENATE('DGNB LCA Results'!$G$3,"_",Q374), $A$2:$P$352,5,FALSE)*'DGNB LCA Results'!$H$3,
IF('DGNB LCA Results'!$P$4=3,VLOOKUP(CONCATENATE('DGNB LCA Results'!$M$3,"_",Q374), $A$2:$P$352,5,FALSE)*'DGNB LCA Results'!$N$3+
                                                                VLOOKUP(CONCATENATE('DGNB LCA Results'!$K$3,"_",Q374), $A$2:$P$352,5,FALSE)*'DGNB LCA Results'!$L$3+
                                                                VLOOKUP(CONCATENATE('DGNB LCA Results'!$I$3,"_",Q374),$A$2:$P$352,5,FALSE)*'DGNB LCA Results'!$J$3,
IF('DGNB LCA Results'!$P$4=2,VLOOKUP(CONCATENATE('DGNB LCA Results'!$M$3,"_",Q374), $A$2:$P$352,5,FALSE)*'DGNB LCA Results'!$N$3+
                                                                 VLOOKUP(CONCATENATE('DGNB LCA Results'!$K$3,"_",Q374),$A$2:$P$352,5,FALSE)*'DGNB LCA Results'!$L$3,
IF('DGNB LCA Results'!$P$4=1,VLOOKUP(CONCATENATE('DGNB LCA Results'!$M$3,"_",Q374), $A$2:$P$352,5,FALSE)*'DGNB LCA Results'!$N$3,0))))</f>
        <v>0</v>
      </c>
      <c r="F374" s="47">
        <f>IF('DGNB LCA Results'!$P$4=4,VLOOKUP(CONCATENATE('DGNB LCA Results'!$M$3,"_",Q374), $A$2:$P$352,6,FALSE)*'DGNB LCA Results'!$N$3+
                                                                  VLOOKUP(CONCATENATE('DGNB LCA Results'!$K$3,"_",Q374), $A$2:$P$352,6,FALSE)*'DGNB LCA Results'!$L$3+
                                                                  VLOOKUP(CONCATENATE('DGNB LCA Results'!$I$3,"_",Q374), $A$2:$P$352,6,FALSE)*'DGNB LCA Results'!$J$3+
                                                                  VLOOKUP(CONCATENATE('DGNB LCA Results'!$G$3,"_",Q374), $A$2:$P$352,6,FALSE)*'DGNB LCA Results'!$H$3,
IF('DGNB LCA Results'!$P$4=3,VLOOKUP(CONCATENATE('DGNB LCA Results'!$M$3,"_",Q374), $A$2:$P$352,6,FALSE)*'DGNB LCA Results'!$N$3+
                                                                VLOOKUP(CONCATENATE('DGNB LCA Results'!$K$3,"_",Q374), $A$2:$P$352,6,FALSE)*'DGNB LCA Results'!$L$3+
                                                                VLOOKUP(CONCATENATE('DGNB LCA Results'!$I$3,"_",Q374),$A$2:$P$352,6,FALSE)*'DGNB LCA Results'!$J$3,
IF('DGNB LCA Results'!$P$4=2,VLOOKUP(CONCATENATE('DGNB LCA Results'!$M$3,"_",Q374), $A$2:$P$352,6,FALSE)*'DGNB LCA Results'!$N$3+
                                                                 VLOOKUP(CONCATENATE('DGNB LCA Results'!$K$3,"_",Q374),$A$2:$P$352,6,FALSE)*'DGNB LCA Results'!$L$3,
IF('DGNB LCA Results'!$P$4=1,VLOOKUP(CONCATENATE('DGNB LCA Results'!$M$3,"_",Q374), $A$2:$P$352,6,FALSE)*'DGNB LCA Results'!$N$3,0))))</f>
        <v>0</v>
      </c>
      <c r="G374" s="121">
        <f>IF('DGNB LCA Results'!$P$4=4,VLOOKUP(CONCATENATE('DGNB LCA Results'!$M$3,"_",Q374), $A$2:$P$352,7,FALSE)*'DGNB LCA Results'!$N$3+
                                                                  VLOOKUP(CONCATENATE('DGNB LCA Results'!$K$3,"_",Q374), $A$2:$P$352,7,FALSE)*'DGNB LCA Results'!$L$3+
                                                                  VLOOKUP(CONCATENATE('DGNB LCA Results'!$I$3,"_",Q374), $A$2:$P$352,7,FALSE)*'DGNB LCA Results'!$J$3+
                                                                  VLOOKUP(CONCATENATE('DGNB LCA Results'!$G$3,"_",Q374), $A$2:$P$352,7,FALSE)*'DGNB LCA Results'!$H$3,
IF('DGNB LCA Results'!$P$4=3,VLOOKUP(CONCATENATE('DGNB LCA Results'!$M$3,"_",Q374), $A$2:$P$352,7,FALSE)*'DGNB LCA Results'!$N$3+
                                                                VLOOKUP(CONCATENATE('DGNB LCA Results'!$K$3,"_",Q374), $A$2:$P$352,7,FALSE)*'DGNB LCA Results'!$L$3+
                                                                VLOOKUP(CONCATENATE('DGNB LCA Results'!$I$3,"_",Q374),$A$2:$P$352,7,FALSE)*'DGNB LCA Results'!$J$3,
IF('DGNB LCA Results'!$P$4=2,VLOOKUP(CONCATENATE('DGNB LCA Results'!$M$3,"_",Q374), $A$2:$P$352,7,FALSE)*'DGNB LCA Results'!$N$3+
                                                                 VLOOKUP(CONCATENATE('DGNB LCA Results'!$K$3,"_",Q374),$A$2:$P$352,7,FALSE)*'DGNB LCA Results'!$L$3,
IF('DGNB LCA Results'!$P$4=1,VLOOKUP(CONCATENATE('DGNB LCA Results'!$M$3,"_",Q374), $A$2:$P$352,7,FALSE)*'DGNB LCA Results'!$N$3,0))))</f>
        <v>0</v>
      </c>
      <c r="H374" s="120">
        <f>IF('DGNB LCA Results'!$P$4=4,VLOOKUP(CONCATENATE('DGNB LCA Results'!$M$3,"_",Q374), $A$2:$P$352,8,FALSE)*'DGNB LCA Results'!$N$3+
                                                                  VLOOKUP(CONCATENATE('DGNB LCA Results'!$K$3,"_",Q374), $A$2:$P$352,8,FALSE)*'DGNB LCA Results'!$L$3+
                                                                  VLOOKUP(CONCATENATE('DGNB LCA Results'!$I$3,"_",Q374), $A$2:$P$352,8,FALSE)*'DGNB LCA Results'!$J$3+
                                                                  VLOOKUP(CONCATENATE('DGNB LCA Results'!$G$3,"_",Q374), $A$2:$P$352,8,FALSE)*'DGNB LCA Results'!$H$3,
IF('DGNB LCA Results'!$P$4=3,VLOOKUP(CONCATENATE('DGNB LCA Results'!$M$3,"_",Q374), $A$2:$P$352,8,FALSE)*'DGNB LCA Results'!$N$3+
                                                                VLOOKUP(CONCATENATE('DGNB LCA Results'!$K$3,"_",Q374), $A$2:$P$352,8,FALSE)*'DGNB LCA Results'!$L$3+
                                                                VLOOKUP(CONCATENATE('DGNB LCA Results'!$I$3,"_",Q374),$A$2:$P$352,8,FALSE)*'DGNB LCA Results'!$J$3,
IF('DGNB LCA Results'!$P$4=2,VLOOKUP(CONCATENATE('DGNB LCA Results'!$M$3,"_",Q374), $A$2:$P$352,8,FALSE)*'DGNB LCA Results'!$N$3+
                                                                 VLOOKUP(CONCATENATE('DGNB LCA Results'!$K$3,"_",Q374),$A$2:$P$352,8,FALSE)*'DGNB LCA Results'!$L$3,
IF('DGNB LCA Results'!$P$4=1,VLOOKUP(CONCATENATE('DGNB LCA Results'!$M$3,"_",Q374), $A$2:$P$352,8,FALSE)*'DGNB LCA Results'!$N$3,0))))</f>
        <v>0</v>
      </c>
      <c r="I374" s="47">
        <f>IF('DGNB LCA Results'!$P$4=4,VLOOKUP(CONCATENATE('DGNB LCA Results'!$M$3,"_",Q374), $A$2:$P$352,9,FALSE)*'DGNB LCA Results'!$N$3+
                                                                  VLOOKUP(CONCATENATE('DGNB LCA Results'!$K$3,"_",Q374), $A$2:$P$352,9,FALSE)*'DGNB LCA Results'!$L$3+
                                                                  VLOOKUP(CONCATENATE('DGNB LCA Results'!$I$3,"_",Q374), $A$2:$P$352,9,FALSE)*'DGNB LCA Results'!$J$3+
                                                                  VLOOKUP(CONCATENATE('DGNB LCA Results'!$G$3,"_",Q374), $A$2:$P$352,9,FALSE)*'DGNB LCA Results'!$H$3,
IF('DGNB LCA Results'!$P$4=3,VLOOKUP(CONCATENATE('DGNB LCA Results'!$M$3,"_",Q374), $A$2:$P$352,9,FALSE)*'DGNB LCA Results'!$N$3+
                                                                VLOOKUP(CONCATENATE('DGNB LCA Results'!$K$3,"_",Q374), $A$2:$P$352,9,FALSE)*'DGNB LCA Results'!$L$3+
                                                                VLOOKUP(CONCATENATE('DGNB LCA Results'!$I$3,"_",Q374),$A$2:$P$352,9,FALSE)*'DGNB LCA Results'!$J$3,
IF('DGNB LCA Results'!$P$4=2,VLOOKUP(CONCATENATE('DGNB LCA Results'!$M$3,"_",Q374), $A$2:$P$352,9,FALSE)*'DGNB LCA Results'!$N$3+
                                                                 VLOOKUP(CONCATENATE('DGNB LCA Results'!$K$3,"_",Q374),$A$2:$P$352,9,FALSE)*'DGNB LCA Results'!$L$3,
IF('DGNB LCA Results'!$P$4=1,VLOOKUP(CONCATENATE('DGNB LCA Results'!$M$3,"_",Q374), $A$2:$P$352,9,FALSE)*'DGNB LCA Results'!$N$3,0))))</f>
        <v>0</v>
      </c>
      <c r="J374" s="121">
        <f>IF('DGNB LCA Results'!$P$4=4,VLOOKUP(CONCATENATE('DGNB LCA Results'!$M$3,"_",Q374), $A$2:$P$352,10,FALSE)*'DGNB LCA Results'!$N$3+
                                                                  VLOOKUP(CONCATENATE('DGNB LCA Results'!$K$3,"_",Q374), $A$2:$P$352,10,FALSE)*'DGNB LCA Results'!$L$3+
                                                                  VLOOKUP(CONCATENATE('DGNB LCA Results'!$I$3,"_",Q374), $A$2:$P$352,10,FALSE)*'DGNB LCA Results'!$J$3+
                                                                  VLOOKUP(CONCATENATE('DGNB LCA Results'!$G$3,"_",Q374), $A$2:$P$352,10,FALSE)*'DGNB LCA Results'!$H$3,
IF('DGNB LCA Results'!$P$4=3,VLOOKUP(CONCATENATE('DGNB LCA Results'!$M$3,"_",Q374), $A$2:$P$352,10,FALSE)*'DGNB LCA Results'!$N$3+
                                                                VLOOKUP(CONCATENATE('DGNB LCA Results'!$K$3,"_",Q374), $A$2:$P$352,10,FALSE)*'DGNB LCA Results'!$L$3+
                                                                VLOOKUP(CONCATENATE('DGNB LCA Results'!$I$3,"_",Q374),$A$2:$P$352,10,FALSE)*'DGNB LCA Results'!$J$3,
IF('DGNB LCA Results'!$P$4=2,VLOOKUP(CONCATENATE('DGNB LCA Results'!$M$3,"_",Q374), $A$2:$P$352,10,FALSE)*'DGNB LCA Results'!$N$3+
                                                                 VLOOKUP(CONCATENATE('DGNB LCA Results'!$K$3,"_",Q374),$A$2:$P$352,10,FALSE)*'DGNB LCA Results'!$L$3,
IF('DGNB LCA Results'!$P$4=1,VLOOKUP(CONCATENATE('DGNB LCA Results'!$M$3,"_",Q374), $A$2:$P$352,10,FALSE)*'DGNB LCA Results'!$N$3,0))))</f>
        <v>0</v>
      </c>
      <c r="K374" s="120">
        <f>IF('DGNB LCA Results'!$P$4=4,VLOOKUP(CONCATENATE('DGNB LCA Results'!$M$3,"_",Q374), $A$2:$P$352,11,FALSE)*'DGNB LCA Results'!$N$3+
                                                                  VLOOKUP(CONCATENATE('DGNB LCA Results'!$K$3,"_",Q374), $A$2:$P$352,11,FALSE)*'DGNB LCA Results'!$L$3+
                                                                  VLOOKUP(CONCATENATE('DGNB LCA Results'!$I$3,"_",Q374), $A$2:$P$352,11,FALSE)*'DGNB LCA Results'!$J$3+
                                                                  VLOOKUP(CONCATENATE('DGNB LCA Results'!$G$3,"_",Q374), $A$2:$P$352,11,FALSE)*'DGNB LCA Results'!$H$3,
IF('DGNB LCA Results'!$P$4=3,VLOOKUP(CONCATENATE('DGNB LCA Results'!$M$3,"_",Q374), $A$2:$P$352,11,FALSE)*'DGNB LCA Results'!$N$3+
                                                                VLOOKUP(CONCATENATE('DGNB LCA Results'!$K$3,"_",Q374), $A$2:$P$352,11,FALSE)*'DGNB LCA Results'!$L$3+
                                                                VLOOKUP(CONCATENATE('DGNB LCA Results'!$I$3,"_",Q374),$A$2:$P$352,11,FALSE)*'DGNB LCA Results'!$J$3,
IF('DGNB LCA Results'!$P$4=2,VLOOKUP(CONCATENATE('DGNB LCA Results'!$M$3,"_",Q374), $A$2:$P$352,11,FALSE)*'DGNB LCA Results'!$N$3+
                                                                 VLOOKUP(CONCATENATE('DGNB LCA Results'!$K$3,"_",Q374),$A$2:$P$352,11,FALSE)*'DGNB LCA Results'!$L$3,
IF('DGNB LCA Results'!$P$4=1,VLOOKUP(CONCATENATE('DGNB LCA Results'!$M$3,"_",Q374), $A$2:$P$352,11,FALSE)*'DGNB LCA Results'!$N$3,0))))</f>
        <v>0</v>
      </c>
      <c r="L374" s="47">
        <f>IF('DGNB LCA Results'!$P$4=4,VLOOKUP(CONCATENATE('DGNB LCA Results'!$M$3,"_",Q374), $A$2:$P$352,12,FALSE)*'DGNB LCA Results'!$N$3+
                                                                  VLOOKUP(CONCATENATE('DGNB LCA Results'!$K$3,"_",Q374), $A$2:$P$352,12,FALSE)*'DGNB LCA Results'!$L$3+
                                                                  VLOOKUP(CONCATENATE('DGNB LCA Results'!$I$3,"_",Q374), $A$2:$P$352,12,FALSE)*'DGNB LCA Results'!$J$3+
                                                                  VLOOKUP(CONCATENATE('DGNB LCA Results'!$G$3,"_",Q374), $A$2:$P$352,12,FALSE)*'DGNB LCA Results'!$H$3,
IF('DGNB LCA Results'!$P$4=3,VLOOKUP(CONCATENATE('DGNB LCA Results'!$M$3,"_",Q374), $A$2:$P$352,12,FALSE)*'DGNB LCA Results'!$N$3+
                                                                VLOOKUP(CONCATENATE('DGNB LCA Results'!$K$3,"_",Q374), $A$2:$P$352,12,FALSE)*'DGNB LCA Results'!$L$3+
                                                                VLOOKUP(CONCATENATE('DGNB LCA Results'!$I$3,"_",Q374),$A$2:$P$352,12,FALSE)*'DGNB LCA Results'!$J$3,
IF('DGNB LCA Results'!$P$4=2,VLOOKUP(CONCATENATE('DGNB LCA Results'!$M$3,"_",Q374), $A$2:$P$352,12,FALSE)*'DGNB LCA Results'!$N$3+
                                                                 VLOOKUP(CONCATENATE('DGNB LCA Results'!$K$3,"_",Q374),$A$2:$P$352,12,FALSE)*'DGNB LCA Results'!$L$3,
IF('DGNB LCA Results'!$P$4=1,VLOOKUP(CONCATENATE('DGNB LCA Results'!$M$3,"_",Q374), $A$2:$P$352,12,FALSE)*'DGNB LCA Results'!$N$3,0))))</f>
        <v>0</v>
      </c>
      <c r="M374" s="121">
        <f>IF('DGNB LCA Results'!$P$4=4,VLOOKUP(CONCATENATE('DGNB LCA Results'!$M$3,"_",Q374), $A$2:$P$352,13,FALSE)*'DGNB LCA Results'!$N$3+
                                                                  VLOOKUP(CONCATENATE('DGNB LCA Results'!$K$3,"_",Q374), $A$2:$P$352,13,FALSE)*'DGNB LCA Results'!$L$3+
                                                                  VLOOKUP(CONCATENATE('DGNB LCA Results'!$I$3,"_",Q374), $A$2:$P$352,13,FALSE)*'DGNB LCA Results'!$J$3+
                                                                  VLOOKUP(CONCATENATE('DGNB LCA Results'!$G$3,"_",Q374), $A$2:$P$352,13,FALSE)*'DGNB LCA Results'!$H$3,
IF('DGNB LCA Results'!$P$4=3,VLOOKUP(CONCATENATE('DGNB LCA Results'!$M$3,"_",Q374), $A$2:$P$352,13,FALSE)*'DGNB LCA Results'!$N$3+
                                                                VLOOKUP(CONCATENATE('DGNB LCA Results'!$K$3,"_",Q374), $A$2:$P$352,13,FALSE)*'DGNB LCA Results'!$L$3+
                                                                VLOOKUP(CONCATENATE('DGNB LCA Results'!$I$3,"_",Q374),$A$2:$P$352,13,FALSE)*'DGNB LCA Results'!$J$3,
IF('DGNB LCA Results'!$P$4=2,VLOOKUP(CONCATENATE('DGNB LCA Results'!$M$3,"_",Q374), $A$2:$P$352,13,FALSE)*'DGNB LCA Results'!$N$3+
                                                                 VLOOKUP(CONCATENATE('DGNB LCA Results'!$K$3,"_",Q374),$A$2:$P$352,13,FALSE)*'DGNB LCA Results'!$L$3,
IF('DGNB LCA Results'!$P$4=1,VLOOKUP(CONCATENATE('DGNB LCA Results'!$M$3,"_",Q374), $A$2:$P$352,13,FALSE)*'DGNB LCA Results'!$N$3,0))))</f>
        <v>0</v>
      </c>
      <c r="N374" s="120">
        <f>IF('DGNB LCA Results'!$P$4=4,VLOOKUP(CONCATENATE('DGNB LCA Results'!$M$3,"_",Q374), $A$2:$P$352,14,FALSE)*'DGNB LCA Results'!$N$3+
                                                                  VLOOKUP(CONCATENATE('DGNB LCA Results'!$K$3,"_",Q374), $A$2:$P$352,14,FALSE)*'DGNB LCA Results'!$L$3+
                                                                  VLOOKUP(CONCATENATE('DGNB LCA Results'!$I$3,"_",Q374), $A$2:$P$352,14,FALSE)*'DGNB LCA Results'!$J$3+
                                                                  VLOOKUP(CONCATENATE('DGNB LCA Results'!$G$3,"_",Q374), $A$2:$P$352,14,FALSE)*'DGNB LCA Results'!$H$3,
IF('DGNB LCA Results'!$P$4=3,VLOOKUP(CONCATENATE('DGNB LCA Results'!$M$3,"_",Q374), $A$2:$P$352,14,FALSE)*'DGNB LCA Results'!$N$3+
                                                                VLOOKUP(CONCATENATE('DGNB LCA Results'!$K$3,"_",Q374), $A$2:$P$352,14,FALSE)*'DGNB LCA Results'!$L$3+
                                                                VLOOKUP(CONCATENATE('DGNB LCA Results'!$I$3,"_",Q374),$A$2:$P$352,14,FALSE)*'DGNB LCA Results'!$J$3,
IF('DGNB LCA Results'!$P$4=2,VLOOKUP(CONCATENATE('DGNB LCA Results'!$M$3,"_",Q374), $A$2:$P$352,14,FALSE)*'DGNB LCA Results'!$N$3+
                                                                 VLOOKUP(CONCATENATE('DGNB LCA Results'!$K$3,"_",Q374),$A$2:$P$352,14,FALSE)*'DGNB LCA Results'!$L$3,
IF('DGNB LCA Results'!$P$4=1,VLOOKUP(CONCATENATE('DGNB LCA Results'!$M$3,"_",Q374), $A$2:$P$352,14,FALSE)*'DGNB LCA Results'!$N$3,0))))</f>
        <v>0</v>
      </c>
      <c r="O374" s="47">
        <f>IF('DGNB LCA Results'!$P$4=4,VLOOKUP(CONCATENATE('DGNB LCA Results'!$M$3,"_",Q374), $A$2:$P$352,15,FALSE)*'DGNB LCA Results'!$N$3+
                                                                  VLOOKUP(CONCATENATE('DGNB LCA Results'!$K$3,"_",Q374), $A$2:$P$352,15,FALSE)*'DGNB LCA Results'!$L$3+
                                                                  VLOOKUP(CONCATENATE('DGNB LCA Results'!$I$3,"_",Q374), $A$2:$P$352,15,FALSE)*'DGNB LCA Results'!$J$3+
                                                                  VLOOKUP(CONCATENATE('DGNB LCA Results'!$G$3,"_",Q374), $A$2:$P$352,15,FALSE)*'DGNB LCA Results'!$H$3,
IF('DGNB LCA Results'!$P$4=3,VLOOKUP(CONCATENATE('DGNB LCA Results'!$M$3,"_",Q374), $A$2:$P$352,15,FALSE)*'DGNB LCA Results'!$N$3+
                                                                VLOOKUP(CONCATENATE('DGNB LCA Results'!$K$3,"_",Q374), $A$2:$P$352,15,FALSE)*'DGNB LCA Results'!$L$3+
                                                                VLOOKUP(CONCATENATE('DGNB LCA Results'!$I$3,"_",Q374),$A$2:$P$352,15,FALSE)*'DGNB LCA Results'!$J$3,
IF('DGNB LCA Results'!$P$4=2,VLOOKUP(CONCATENATE('DGNB LCA Results'!$M$3,"_",Q374), $A$2:$P$352,15,FALSE)*'DGNB LCA Results'!$N$3+
                                                                 VLOOKUP(CONCATENATE('DGNB LCA Results'!$K$3,"_",Q374),$A$2:$P$352,15,FALSE)*'DGNB LCA Results'!$L$3,
IF('DGNB LCA Results'!$P$4=1,VLOOKUP(CONCATENATE('DGNB LCA Results'!$M$3,"_",Q374), $A$2:$P$352,15,FALSE)*'DGNB LCA Results'!$N$3,0))))</f>
        <v>0</v>
      </c>
      <c r="P374" s="121">
        <f>IF('DGNB LCA Results'!$P$4=4,VLOOKUP(CONCATENATE('DGNB LCA Results'!$M$3,"_",Q374), $A$2:$P$352,16,FALSE)*'DGNB LCA Results'!$N$3+
                                                                  VLOOKUP(CONCATENATE('DGNB LCA Results'!$K$3,"_",Q374), $A$2:$P$352,16,FALSE)*'DGNB LCA Results'!$L$3+
                                                                  VLOOKUP(CONCATENATE('DGNB LCA Results'!$I$3,"_",Q374), $A$2:$P$352,16,FALSE)*'DGNB LCA Results'!$J$3+
                                                                  VLOOKUP(CONCATENATE('DGNB LCA Results'!$G$3,"_",Q374), $A$2:$P$352,16,FALSE)*'DGNB LCA Results'!$H$3,
IF('DGNB LCA Results'!$P$4=3,VLOOKUP(CONCATENATE('DGNB LCA Results'!$M$3,"_",Q374), $A$2:$P$352,16,FALSE)*'DGNB LCA Results'!$N$3+
                                                                VLOOKUP(CONCATENATE('DGNB LCA Results'!$K$3,"_",Q374), $A$2:$P$352,16,FALSE)*'DGNB LCA Results'!$L$3+
                                                                VLOOKUP(CONCATENATE('DGNB LCA Results'!$I$3,"_",Q374),$A$2:$P$352,16,FALSE)*'DGNB LCA Results'!$J$3,
IF('DGNB LCA Results'!$P$4=2,VLOOKUP(CONCATENATE('DGNB LCA Results'!$M$3,"_",Q374), $A$2:$P$352,16,FALSE)*'DGNB LCA Results'!$N$3+
                                                                 VLOOKUP(CONCATENATE('DGNB LCA Results'!$K$3,"_",Q374),$A$2:$P$352,16,FALSE)*'DGNB LCA Results'!$L$3,
IF('DGNB LCA Results'!$P$4=1,VLOOKUP(CONCATENATE('DGNB LCA Results'!$M$3,"_",Q374), $A$2:$P$352,16,FALSE)*'DGNB LCA Results'!$N$3,0))))</f>
        <v>0</v>
      </c>
      <c r="Q374">
        <v>90</v>
      </c>
      <c r="R374" t="s">
        <v>193</v>
      </c>
    </row>
    <row r="375" spans="1:18" x14ac:dyDescent="0.2">
      <c r="A375" t="str">
        <f t="shared" si="7"/>
        <v>MIX12_100</v>
      </c>
      <c r="B375" s="120">
        <f>IF('DGNB LCA Results'!$P$4=4,VLOOKUP(CONCATENATE('DGNB LCA Results'!$M$3,"_",Q375), $A$2:$P$352,2,FALSE)*'DGNB LCA Results'!$N$3+
                                                                  VLOOKUP(CONCATENATE('DGNB LCA Results'!$K$3,"_",Q375), $A$2:$P$352,2,FALSE)*'DGNB LCA Results'!$L$3+
                                                                  VLOOKUP(CONCATENATE('DGNB LCA Results'!$I$3,"_",Q375), $A$2:$P$352,2,FALSE)*'DGNB LCA Results'!$J$3+
                                                                  VLOOKUP(CONCATENATE('DGNB LCA Results'!$G$3,"_",Q375), $A$2:$P$352,2,FALSE)*'DGNB LCA Results'!$H$3,
IF('DGNB LCA Results'!$P$4=3,VLOOKUP(CONCATENATE('DGNB LCA Results'!$M$3,"_",Q375), $A$2:$P$352,2,FALSE)*'DGNB LCA Results'!$N$3+
                                                                VLOOKUP(CONCATENATE('DGNB LCA Results'!$K$3,"_",Q375), $A$2:$P$352,2,FALSE)*'DGNB LCA Results'!$L$3+
                                                                VLOOKUP(CONCATENATE('DGNB LCA Results'!$I$3,"_",Q375),$A$2:$P$352,2,FALSE)*'DGNB LCA Results'!$J$3,
IF('DGNB LCA Results'!$P$4=2,VLOOKUP(CONCATENATE('DGNB LCA Results'!$M$3,"_",Q375), $A$2:$P$352,2,FALSE)*'DGNB LCA Results'!$N$3+
                                                                 VLOOKUP(CONCATENATE('DGNB LCA Results'!$K$3,"_",Q375),$A$2:$P$352,2,FALSE)*'DGNB LCA Results'!$L$3,
IF('DGNB LCA Results'!$P$4=1,VLOOKUP(CONCATENATE('DGNB LCA Results'!$M$3,"_",Q375), $A$2:$P$352,2,FALSE)*'DGNB LCA Results'!$N$3,0))))</f>
        <v>0</v>
      </c>
      <c r="C375" s="49">
        <f>IF('DGNB LCA Results'!$P$4=4,VLOOKUP(CONCATENATE('DGNB LCA Results'!$M$3,"_",Q375), $A$2:$P$352,3,FALSE)*'DGNB LCA Results'!$N$3+
                                                                  VLOOKUP(CONCATENATE('DGNB LCA Results'!$K$3,"_",Q375), $A$2:$P$352,3,FALSE)*'DGNB LCA Results'!$L$3+
                                                                  VLOOKUP(CONCATENATE('DGNB LCA Results'!$I$3,"_",Q375), $A$2:$P$352,3,FALSE)*'DGNB LCA Results'!$J$3+
                                                                  VLOOKUP(CONCATENATE('DGNB LCA Results'!$G$3,"_",Q375), $A$2:$P$352,3,FALSE)*'DGNB LCA Results'!$H$3,
IF('DGNB LCA Results'!$P$4=3,VLOOKUP(CONCATENATE('DGNB LCA Results'!$M$3,"_",Q375), $A$2:$P$352,3,FALSE)*'DGNB LCA Results'!$N$3+
                                                                VLOOKUP(CONCATENATE('DGNB LCA Results'!$K$3,"_",Q375), $A$2:$P$352,3,FALSE)*'DGNB LCA Results'!$L$3+
                                                                VLOOKUP(CONCATENATE('DGNB LCA Results'!$I$3,"_",Q375),$A$2:$P$352,3,FALSE)*'DGNB LCA Results'!$J$3,
IF('DGNB LCA Results'!$P$4=2,VLOOKUP(CONCATENATE('DGNB LCA Results'!$M$3,"_",Q375), $A$2:$P$352,3,FALSE)*'DGNB LCA Results'!$N$3+
                                                                 VLOOKUP(CONCATENATE('DGNB LCA Results'!$K$3,"_",Q375),$A$2:$P$352,3,FALSE)*'DGNB LCA Results'!$L$3,
IF('DGNB LCA Results'!$P$4=1,VLOOKUP(CONCATENATE('DGNB LCA Results'!$M$3,"_",Q375), $A$2:$P$352,3,FALSE)*'DGNB LCA Results'!$N$3,0))))</f>
        <v>0</v>
      </c>
      <c r="D375" s="49">
        <f>IF('DGNB LCA Results'!$P$4=4,VLOOKUP(CONCATENATE('DGNB LCA Results'!$M$3,"_",Q375), $A$2:$P$352,4,FALSE)*'DGNB LCA Results'!$N$3+
                                                                  VLOOKUP(CONCATENATE('DGNB LCA Results'!$K$3,"_",Q375), $A$2:$P$352,4,FALSE)*'DGNB LCA Results'!$L$3+
                                                                  VLOOKUP(CONCATENATE('DGNB LCA Results'!$I$3,"_",Q375), $A$2:$P$352,4,FALSE)*'DGNB LCA Results'!$J$3+
                                                                  VLOOKUP(CONCATENATE('DGNB LCA Results'!$G$3,"_",Q375), $A$2:$P$352,4,FALSE)*'DGNB LCA Results'!$H$3,
IF('DGNB LCA Results'!$P$4=3,VLOOKUP(CONCATENATE('DGNB LCA Results'!$M$3,"_",Q375), $A$2:$P$352,4,FALSE)*'DGNB LCA Results'!$N$3+
                                                                VLOOKUP(CONCATENATE('DGNB LCA Results'!$K$3,"_",Q375), $A$2:$P$352,4,FALSE)*'DGNB LCA Results'!$L$3+
                                                                VLOOKUP(CONCATENATE('DGNB LCA Results'!$I$3,"_",Q375),$A$2:$P$352,4,FALSE)*'DGNB LCA Results'!$J$3,
IF('DGNB LCA Results'!$P$4=2,VLOOKUP(CONCATENATE('DGNB LCA Results'!$M$3,"_",Q375), $A$2:$P$352,4,FALSE)*'DGNB LCA Results'!$N$3+
                                                                 VLOOKUP(CONCATENATE('DGNB LCA Results'!$K$3,"_",Q375),$A$2:$P$352,4,FALSE)*'DGNB LCA Results'!$L$3,
IF('DGNB LCA Results'!$P$4=1,VLOOKUP(CONCATENATE('DGNB LCA Results'!$M$3,"_",Q375), $A$2:$P$352,4,FALSE)*'DGNB LCA Results'!$N$3,0))))</f>
        <v>0</v>
      </c>
      <c r="E375" s="120">
        <f>IF('DGNB LCA Results'!$P$4=4,VLOOKUP(CONCATENATE('DGNB LCA Results'!$M$3,"_",Q375), $A$2:$P$352,5,FALSE)*'DGNB LCA Results'!$N$3+
                                                                  VLOOKUP(CONCATENATE('DGNB LCA Results'!$K$3,"_",Q375), $A$2:$P$352,5,FALSE)*'DGNB LCA Results'!$L$3+
                                                                  VLOOKUP(CONCATENATE('DGNB LCA Results'!$I$3,"_",Q375), $A$2:$P$352,5,FALSE)*'DGNB LCA Results'!$J$3+
                                                                  VLOOKUP(CONCATENATE('DGNB LCA Results'!$G$3,"_",Q375), $A$2:$P$352,5,FALSE)*'DGNB LCA Results'!$H$3,
IF('DGNB LCA Results'!$P$4=3,VLOOKUP(CONCATENATE('DGNB LCA Results'!$M$3,"_",Q375), $A$2:$P$352,5,FALSE)*'DGNB LCA Results'!$N$3+
                                                                VLOOKUP(CONCATENATE('DGNB LCA Results'!$K$3,"_",Q375), $A$2:$P$352,5,FALSE)*'DGNB LCA Results'!$L$3+
                                                                VLOOKUP(CONCATENATE('DGNB LCA Results'!$I$3,"_",Q375),$A$2:$P$352,5,FALSE)*'DGNB LCA Results'!$J$3,
IF('DGNB LCA Results'!$P$4=2,VLOOKUP(CONCATENATE('DGNB LCA Results'!$M$3,"_",Q375), $A$2:$P$352,5,FALSE)*'DGNB LCA Results'!$N$3+
                                                                 VLOOKUP(CONCATENATE('DGNB LCA Results'!$K$3,"_",Q375),$A$2:$P$352,5,FALSE)*'DGNB LCA Results'!$L$3,
IF('DGNB LCA Results'!$P$4=1,VLOOKUP(CONCATENATE('DGNB LCA Results'!$M$3,"_",Q375), $A$2:$P$352,5,FALSE)*'DGNB LCA Results'!$N$3,0))))</f>
        <v>0</v>
      </c>
      <c r="F375" s="47">
        <f>IF('DGNB LCA Results'!$P$4=4,VLOOKUP(CONCATENATE('DGNB LCA Results'!$M$3,"_",Q375), $A$2:$P$352,6,FALSE)*'DGNB LCA Results'!$N$3+
                                                                  VLOOKUP(CONCATENATE('DGNB LCA Results'!$K$3,"_",Q375), $A$2:$P$352,6,FALSE)*'DGNB LCA Results'!$L$3+
                                                                  VLOOKUP(CONCATENATE('DGNB LCA Results'!$I$3,"_",Q375), $A$2:$P$352,6,FALSE)*'DGNB LCA Results'!$J$3+
                                                                  VLOOKUP(CONCATENATE('DGNB LCA Results'!$G$3,"_",Q375), $A$2:$P$352,6,FALSE)*'DGNB LCA Results'!$H$3,
IF('DGNB LCA Results'!$P$4=3,VLOOKUP(CONCATENATE('DGNB LCA Results'!$M$3,"_",Q375), $A$2:$P$352,6,FALSE)*'DGNB LCA Results'!$N$3+
                                                                VLOOKUP(CONCATENATE('DGNB LCA Results'!$K$3,"_",Q375), $A$2:$P$352,6,FALSE)*'DGNB LCA Results'!$L$3+
                                                                VLOOKUP(CONCATENATE('DGNB LCA Results'!$I$3,"_",Q375),$A$2:$P$352,6,FALSE)*'DGNB LCA Results'!$J$3,
IF('DGNB LCA Results'!$P$4=2,VLOOKUP(CONCATENATE('DGNB LCA Results'!$M$3,"_",Q375), $A$2:$P$352,6,FALSE)*'DGNB LCA Results'!$N$3+
                                                                 VLOOKUP(CONCATENATE('DGNB LCA Results'!$K$3,"_",Q375),$A$2:$P$352,6,FALSE)*'DGNB LCA Results'!$L$3,
IF('DGNB LCA Results'!$P$4=1,VLOOKUP(CONCATENATE('DGNB LCA Results'!$M$3,"_",Q375), $A$2:$P$352,6,FALSE)*'DGNB LCA Results'!$N$3,0))))</f>
        <v>0</v>
      </c>
      <c r="G375" s="121">
        <f>IF('DGNB LCA Results'!$P$4=4,VLOOKUP(CONCATENATE('DGNB LCA Results'!$M$3,"_",Q375), $A$2:$P$352,7,FALSE)*'DGNB LCA Results'!$N$3+
                                                                  VLOOKUP(CONCATENATE('DGNB LCA Results'!$K$3,"_",Q375), $A$2:$P$352,7,FALSE)*'DGNB LCA Results'!$L$3+
                                                                  VLOOKUP(CONCATENATE('DGNB LCA Results'!$I$3,"_",Q375), $A$2:$P$352,7,FALSE)*'DGNB LCA Results'!$J$3+
                                                                  VLOOKUP(CONCATENATE('DGNB LCA Results'!$G$3,"_",Q375), $A$2:$P$352,7,FALSE)*'DGNB LCA Results'!$H$3,
IF('DGNB LCA Results'!$P$4=3,VLOOKUP(CONCATENATE('DGNB LCA Results'!$M$3,"_",Q375), $A$2:$P$352,7,FALSE)*'DGNB LCA Results'!$N$3+
                                                                VLOOKUP(CONCATENATE('DGNB LCA Results'!$K$3,"_",Q375), $A$2:$P$352,7,FALSE)*'DGNB LCA Results'!$L$3+
                                                                VLOOKUP(CONCATENATE('DGNB LCA Results'!$I$3,"_",Q375),$A$2:$P$352,7,FALSE)*'DGNB LCA Results'!$J$3,
IF('DGNB LCA Results'!$P$4=2,VLOOKUP(CONCATENATE('DGNB LCA Results'!$M$3,"_",Q375), $A$2:$P$352,7,FALSE)*'DGNB LCA Results'!$N$3+
                                                                 VLOOKUP(CONCATENATE('DGNB LCA Results'!$K$3,"_",Q375),$A$2:$P$352,7,FALSE)*'DGNB LCA Results'!$L$3,
IF('DGNB LCA Results'!$P$4=1,VLOOKUP(CONCATENATE('DGNB LCA Results'!$M$3,"_",Q375), $A$2:$P$352,7,FALSE)*'DGNB LCA Results'!$N$3,0))))</f>
        <v>0</v>
      </c>
      <c r="H375" s="120">
        <f>IF('DGNB LCA Results'!$P$4=4,VLOOKUP(CONCATENATE('DGNB LCA Results'!$M$3,"_",Q375), $A$2:$P$352,8,FALSE)*'DGNB LCA Results'!$N$3+
                                                                  VLOOKUP(CONCATENATE('DGNB LCA Results'!$K$3,"_",Q375), $A$2:$P$352,8,FALSE)*'DGNB LCA Results'!$L$3+
                                                                  VLOOKUP(CONCATENATE('DGNB LCA Results'!$I$3,"_",Q375), $A$2:$P$352,8,FALSE)*'DGNB LCA Results'!$J$3+
                                                                  VLOOKUP(CONCATENATE('DGNB LCA Results'!$G$3,"_",Q375), $A$2:$P$352,8,FALSE)*'DGNB LCA Results'!$H$3,
IF('DGNB LCA Results'!$P$4=3,VLOOKUP(CONCATENATE('DGNB LCA Results'!$M$3,"_",Q375), $A$2:$P$352,8,FALSE)*'DGNB LCA Results'!$N$3+
                                                                VLOOKUP(CONCATENATE('DGNB LCA Results'!$K$3,"_",Q375), $A$2:$P$352,8,FALSE)*'DGNB LCA Results'!$L$3+
                                                                VLOOKUP(CONCATENATE('DGNB LCA Results'!$I$3,"_",Q375),$A$2:$P$352,8,FALSE)*'DGNB LCA Results'!$J$3,
IF('DGNB LCA Results'!$P$4=2,VLOOKUP(CONCATENATE('DGNB LCA Results'!$M$3,"_",Q375), $A$2:$P$352,8,FALSE)*'DGNB LCA Results'!$N$3+
                                                                 VLOOKUP(CONCATENATE('DGNB LCA Results'!$K$3,"_",Q375),$A$2:$P$352,8,FALSE)*'DGNB LCA Results'!$L$3,
IF('DGNB LCA Results'!$P$4=1,VLOOKUP(CONCATENATE('DGNB LCA Results'!$M$3,"_",Q375), $A$2:$P$352,8,FALSE)*'DGNB LCA Results'!$N$3,0))))</f>
        <v>0</v>
      </c>
      <c r="I375" s="47">
        <f>IF('DGNB LCA Results'!$P$4=4,VLOOKUP(CONCATENATE('DGNB LCA Results'!$M$3,"_",Q375), $A$2:$P$352,9,FALSE)*'DGNB LCA Results'!$N$3+
                                                                  VLOOKUP(CONCATENATE('DGNB LCA Results'!$K$3,"_",Q375), $A$2:$P$352,9,FALSE)*'DGNB LCA Results'!$L$3+
                                                                  VLOOKUP(CONCATENATE('DGNB LCA Results'!$I$3,"_",Q375), $A$2:$P$352,9,FALSE)*'DGNB LCA Results'!$J$3+
                                                                  VLOOKUP(CONCATENATE('DGNB LCA Results'!$G$3,"_",Q375), $A$2:$P$352,9,FALSE)*'DGNB LCA Results'!$H$3,
IF('DGNB LCA Results'!$P$4=3,VLOOKUP(CONCATENATE('DGNB LCA Results'!$M$3,"_",Q375), $A$2:$P$352,9,FALSE)*'DGNB LCA Results'!$N$3+
                                                                VLOOKUP(CONCATENATE('DGNB LCA Results'!$K$3,"_",Q375), $A$2:$P$352,9,FALSE)*'DGNB LCA Results'!$L$3+
                                                                VLOOKUP(CONCATENATE('DGNB LCA Results'!$I$3,"_",Q375),$A$2:$P$352,9,FALSE)*'DGNB LCA Results'!$J$3,
IF('DGNB LCA Results'!$P$4=2,VLOOKUP(CONCATENATE('DGNB LCA Results'!$M$3,"_",Q375), $A$2:$P$352,9,FALSE)*'DGNB LCA Results'!$N$3+
                                                                 VLOOKUP(CONCATENATE('DGNB LCA Results'!$K$3,"_",Q375),$A$2:$P$352,9,FALSE)*'DGNB LCA Results'!$L$3,
IF('DGNB LCA Results'!$P$4=1,VLOOKUP(CONCATENATE('DGNB LCA Results'!$M$3,"_",Q375), $A$2:$P$352,9,FALSE)*'DGNB LCA Results'!$N$3,0))))</f>
        <v>0</v>
      </c>
      <c r="J375" s="121">
        <f>IF('DGNB LCA Results'!$P$4=4,VLOOKUP(CONCATENATE('DGNB LCA Results'!$M$3,"_",Q375), $A$2:$P$352,10,FALSE)*'DGNB LCA Results'!$N$3+
                                                                  VLOOKUP(CONCATENATE('DGNB LCA Results'!$K$3,"_",Q375), $A$2:$P$352,10,FALSE)*'DGNB LCA Results'!$L$3+
                                                                  VLOOKUP(CONCATENATE('DGNB LCA Results'!$I$3,"_",Q375), $A$2:$P$352,10,FALSE)*'DGNB LCA Results'!$J$3+
                                                                  VLOOKUP(CONCATENATE('DGNB LCA Results'!$G$3,"_",Q375), $A$2:$P$352,10,FALSE)*'DGNB LCA Results'!$H$3,
IF('DGNB LCA Results'!$P$4=3,VLOOKUP(CONCATENATE('DGNB LCA Results'!$M$3,"_",Q375), $A$2:$P$352,10,FALSE)*'DGNB LCA Results'!$N$3+
                                                                VLOOKUP(CONCATENATE('DGNB LCA Results'!$K$3,"_",Q375), $A$2:$P$352,10,FALSE)*'DGNB LCA Results'!$L$3+
                                                                VLOOKUP(CONCATENATE('DGNB LCA Results'!$I$3,"_",Q375),$A$2:$P$352,10,FALSE)*'DGNB LCA Results'!$J$3,
IF('DGNB LCA Results'!$P$4=2,VLOOKUP(CONCATENATE('DGNB LCA Results'!$M$3,"_",Q375), $A$2:$P$352,10,FALSE)*'DGNB LCA Results'!$N$3+
                                                                 VLOOKUP(CONCATENATE('DGNB LCA Results'!$K$3,"_",Q375),$A$2:$P$352,10,FALSE)*'DGNB LCA Results'!$L$3,
IF('DGNB LCA Results'!$P$4=1,VLOOKUP(CONCATENATE('DGNB LCA Results'!$M$3,"_",Q375), $A$2:$P$352,10,FALSE)*'DGNB LCA Results'!$N$3,0))))</f>
        <v>0</v>
      </c>
      <c r="K375" s="120">
        <f>IF('DGNB LCA Results'!$P$4=4,VLOOKUP(CONCATENATE('DGNB LCA Results'!$M$3,"_",Q375), $A$2:$P$352,11,FALSE)*'DGNB LCA Results'!$N$3+
                                                                  VLOOKUP(CONCATENATE('DGNB LCA Results'!$K$3,"_",Q375), $A$2:$P$352,11,FALSE)*'DGNB LCA Results'!$L$3+
                                                                  VLOOKUP(CONCATENATE('DGNB LCA Results'!$I$3,"_",Q375), $A$2:$P$352,11,FALSE)*'DGNB LCA Results'!$J$3+
                                                                  VLOOKUP(CONCATENATE('DGNB LCA Results'!$G$3,"_",Q375), $A$2:$P$352,11,FALSE)*'DGNB LCA Results'!$H$3,
IF('DGNB LCA Results'!$P$4=3,VLOOKUP(CONCATENATE('DGNB LCA Results'!$M$3,"_",Q375), $A$2:$P$352,11,FALSE)*'DGNB LCA Results'!$N$3+
                                                                VLOOKUP(CONCATENATE('DGNB LCA Results'!$K$3,"_",Q375), $A$2:$P$352,11,FALSE)*'DGNB LCA Results'!$L$3+
                                                                VLOOKUP(CONCATENATE('DGNB LCA Results'!$I$3,"_",Q375),$A$2:$P$352,11,FALSE)*'DGNB LCA Results'!$J$3,
IF('DGNB LCA Results'!$P$4=2,VLOOKUP(CONCATENATE('DGNB LCA Results'!$M$3,"_",Q375), $A$2:$P$352,11,FALSE)*'DGNB LCA Results'!$N$3+
                                                                 VLOOKUP(CONCATENATE('DGNB LCA Results'!$K$3,"_",Q375),$A$2:$P$352,11,FALSE)*'DGNB LCA Results'!$L$3,
IF('DGNB LCA Results'!$P$4=1,VLOOKUP(CONCATENATE('DGNB LCA Results'!$M$3,"_",Q375), $A$2:$P$352,11,FALSE)*'DGNB LCA Results'!$N$3,0))))</f>
        <v>0</v>
      </c>
      <c r="L375" s="47">
        <f>IF('DGNB LCA Results'!$P$4=4,VLOOKUP(CONCATENATE('DGNB LCA Results'!$M$3,"_",Q375), $A$2:$P$352,12,FALSE)*'DGNB LCA Results'!$N$3+
                                                                  VLOOKUP(CONCATENATE('DGNB LCA Results'!$K$3,"_",Q375), $A$2:$P$352,12,FALSE)*'DGNB LCA Results'!$L$3+
                                                                  VLOOKUP(CONCATENATE('DGNB LCA Results'!$I$3,"_",Q375), $A$2:$P$352,12,FALSE)*'DGNB LCA Results'!$J$3+
                                                                  VLOOKUP(CONCATENATE('DGNB LCA Results'!$G$3,"_",Q375), $A$2:$P$352,12,FALSE)*'DGNB LCA Results'!$H$3,
IF('DGNB LCA Results'!$P$4=3,VLOOKUP(CONCATENATE('DGNB LCA Results'!$M$3,"_",Q375), $A$2:$P$352,12,FALSE)*'DGNB LCA Results'!$N$3+
                                                                VLOOKUP(CONCATENATE('DGNB LCA Results'!$K$3,"_",Q375), $A$2:$P$352,12,FALSE)*'DGNB LCA Results'!$L$3+
                                                                VLOOKUP(CONCATENATE('DGNB LCA Results'!$I$3,"_",Q375),$A$2:$P$352,12,FALSE)*'DGNB LCA Results'!$J$3,
IF('DGNB LCA Results'!$P$4=2,VLOOKUP(CONCATENATE('DGNB LCA Results'!$M$3,"_",Q375), $A$2:$P$352,12,FALSE)*'DGNB LCA Results'!$N$3+
                                                                 VLOOKUP(CONCATENATE('DGNB LCA Results'!$K$3,"_",Q375),$A$2:$P$352,12,FALSE)*'DGNB LCA Results'!$L$3,
IF('DGNB LCA Results'!$P$4=1,VLOOKUP(CONCATENATE('DGNB LCA Results'!$M$3,"_",Q375), $A$2:$P$352,12,FALSE)*'DGNB LCA Results'!$N$3,0))))</f>
        <v>0</v>
      </c>
      <c r="M375" s="121">
        <f>IF('DGNB LCA Results'!$P$4=4,VLOOKUP(CONCATENATE('DGNB LCA Results'!$M$3,"_",Q375), $A$2:$P$352,13,FALSE)*'DGNB LCA Results'!$N$3+
                                                                  VLOOKUP(CONCATENATE('DGNB LCA Results'!$K$3,"_",Q375), $A$2:$P$352,13,FALSE)*'DGNB LCA Results'!$L$3+
                                                                  VLOOKUP(CONCATENATE('DGNB LCA Results'!$I$3,"_",Q375), $A$2:$P$352,13,FALSE)*'DGNB LCA Results'!$J$3+
                                                                  VLOOKUP(CONCATENATE('DGNB LCA Results'!$G$3,"_",Q375), $A$2:$P$352,13,FALSE)*'DGNB LCA Results'!$H$3,
IF('DGNB LCA Results'!$P$4=3,VLOOKUP(CONCATENATE('DGNB LCA Results'!$M$3,"_",Q375), $A$2:$P$352,13,FALSE)*'DGNB LCA Results'!$N$3+
                                                                VLOOKUP(CONCATENATE('DGNB LCA Results'!$K$3,"_",Q375), $A$2:$P$352,13,FALSE)*'DGNB LCA Results'!$L$3+
                                                                VLOOKUP(CONCATENATE('DGNB LCA Results'!$I$3,"_",Q375),$A$2:$P$352,13,FALSE)*'DGNB LCA Results'!$J$3,
IF('DGNB LCA Results'!$P$4=2,VLOOKUP(CONCATENATE('DGNB LCA Results'!$M$3,"_",Q375), $A$2:$P$352,13,FALSE)*'DGNB LCA Results'!$N$3+
                                                                 VLOOKUP(CONCATENATE('DGNB LCA Results'!$K$3,"_",Q375),$A$2:$P$352,13,FALSE)*'DGNB LCA Results'!$L$3,
IF('DGNB LCA Results'!$P$4=1,VLOOKUP(CONCATENATE('DGNB LCA Results'!$M$3,"_",Q375), $A$2:$P$352,13,FALSE)*'DGNB LCA Results'!$N$3,0))))</f>
        <v>0</v>
      </c>
      <c r="N375" s="120">
        <f>IF('DGNB LCA Results'!$P$4=4,VLOOKUP(CONCATENATE('DGNB LCA Results'!$M$3,"_",Q375), $A$2:$P$352,14,FALSE)*'DGNB LCA Results'!$N$3+
                                                                  VLOOKUP(CONCATENATE('DGNB LCA Results'!$K$3,"_",Q375), $A$2:$P$352,14,FALSE)*'DGNB LCA Results'!$L$3+
                                                                  VLOOKUP(CONCATENATE('DGNB LCA Results'!$I$3,"_",Q375), $A$2:$P$352,14,FALSE)*'DGNB LCA Results'!$J$3+
                                                                  VLOOKUP(CONCATENATE('DGNB LCA Results'!$G$3,"_",Q375), $A$2:$P$352,14,FALSE)*'DGNB LCA Results'!$H$3,
IF('DGNB LCA Results'!$P$4=3,VLOOKUP(CONCATENATE('DGNB LCA Results'!$M$3,"_",Q375), $A$2:$P$352,14,FALSE)*'DGNB LCA Results'!$N$3+
                                                                VLOOKUP(CONCATENATE('DGNB LCA Results'!$K$3,"_",Q375), $A$2:$P$352,14,FALSE)*'DGNB LCA Results'!$L$3+
                                                                VLOOKUP(CONCATENATE('DGNB LCA Results'!$I$3,"_",Q375),$A$2:$P$352,14,FALSE)*'DGNB LCA Results'!$J$3,
IF('DGNB LCA Results'!$P$4=2,VLOOKUP(CONCATENATE('DGNB LCA Results'!$M$3,"_",Q375), $A$2:$P$352,14,FALSE)*'DGNB LCA Results'!$N$3+
                                                                 VLOOKUP(CONCATENATE('DGNB LCA Results'!$K$3,"_",Q375),$A$2:$P$352,14,FALSE)*'DGNB LCA Results'!$L$3,
IF('DGNB LCA Results'!$P$4=1,VLOOKUP(CONCATENATE('DGNB LCA Results'!$M$3,"_",Q375), $A$2:$P$352,14,FALSE)*'DGNB LCA Results'!$N$3,0))))</f>
        <v>0</v>
      </c>
      <c r="O375" s="47">
        <f>IF('DGNB LCA Results'!$P$4=4,VLOOKUP(CONCATENATE('DGNB LCA Results'!$M$3,"_",Q375), $A$2:$P$352,15,FALSE)*'DGNB LCA Results'!$N$3+
                                                                  VLOOKUP(CONCATENATE('DGNB LCA Results'!$K$3,"_",Q375), $A$2:$P$352,15,FALSE)*'DGNB LCA Results'!$L$3+
                                                                  VLOOKUP(CONCATENATE('DGNB LCA Results'!$I$3,"_",Q375), $A$2:$P$352,15,FALSE)*'DGNB LCA Results'!$J$3+
                                                                  VLOOKUP(CONCATENATE('DGNB LCA Results'!$G$3,"_",Q375), $A$2:$P$352,15,FALSE)*'DGNB LCA Results'!$H$3,
IF('DGNB LCA Results'!$P$4=3,VLOOKUP(CONCATENATE('DGNB LCA Results'!$M$3,"_",Q375), $A$2:$P$352,15,FALSE)*'DGNB LCA Results'!$N$3+
                                                                VLOOKUP(CONCATENATE('DGNB LCA Results'!$K$3,"_",Q375), $A$2:$P$352,15,FALSE)*'DGNB LCA Results'!$L$3+
                                                                VLOOKUP(CONCATENATE('DGNB LCA Results'!$I$3,"_",Q375),$A$2:$P$352,15,FALSE)*'DGNB LCA Results'!$J$3,
IF('DGNB LCA Results'!$P$4=2,VLOOKUP(CONCATENATE('DGNB LCA Results'!$M$3,"_",Q375), $A$2:$P$352,15,FALSE)*'DGNB LCA Results'!$N$3+
                                                                 VLOOKUP(CONCATENATE('DGNB LCA Results'!$K$3,"_",Q375),$A$2:$P$352,15,FALSE)*'DGNB LCA Results'!$L$3,
IF('DGNB LCA Results'!$P$4=1,VLOOKUP(CONCATENATE('DGNB LCA Results'!$M$3,"_",Q375), $A$2:$P$352,15,FALSE)*'DGNB LCA Results'!$N$3,0))))</f>
        <v>0</v>
      </c>
      <c r="P375" s="121">
        <f>IF('DGNB LCA Results'!$P$4=4,VLOOKUP(CONCATENATE('DGNB LCA Results'!$M$3,"_",Q375), $A$2:$P$352,16,FALSE)*'DGNB LCA Results'!$N$3+
                                                                  VLOOKUP(CONCATENATE('DGNB LCA Results'!$K$3,"_",Q375), $A$2:$P$352,16,FALSE)*'DGNB LCA Results'!$L$3+
                                                                  VLOOKUP(CONCATENATE('DGNB LCA Results'!$I$3,"_",Q375), $A$2:$P$352,16,FALSE)*'DGNB LCA Results'!$J$3+
                                                                  VLOOKUP(CONCATENATE('DGNB LCA Results'!$G$3,"_",Q375), $A$2:$P$352,16,FALSE)*'DGNB LCA Results'!$H$3,
IF('DGNB LCA Results'!$P$4=3,VLOOKUP(CONCATENATE('DGNB LCA Results'!$M$3,"_",Q375), $A$2:$P$352,16,FALSE)*'DGNB LCA Results'!$N$3+
                                                                VLOOKUP(CONCATENATE('DGNB LCA Results'!$K$3,"_",Q375), $A$2:$P$352,16,FALSE)*'DGNB LCA Results'!$L$3+
                                                                VLOOKUP(CONCATENATE('DGNB LCA Results'!$I$3,"_",Q375),$A$2:$P$352,16,FALSE)*'DGNB LCA Results'!$J$3,
IF('DGNB LCA Results'!$P$4=2,VLOOKUP(CONCATENATE('DGNB LCA Results'!$M$3,"_",Q375), $A$2:$P$352,16,FALSE)*'DGNB LCA Results'!$N$3+
                                                                 VLOOKUP(CONCATENATE('DGNB LCA Results'!$K$3,"_",Q375),$A$2:$P$352,16,FALSE)*'DGNB LCA Results'!$L$3,
IF('DGNB LCA Results'!$P$4=1,VLOOKUP(CONCATENATE('DGNB LCA Results'!$M$3,"_",Q375), $A$2:$P$352,16,FALSE)*'DGNB LCA Results'!$N$3,0))))</f>
        <v>0</v>
      </c>
      <c r="Q375">
        <v>100</v>
      </c>
      <c r="R375" t="s">
        <v>193</v>
      </c>
    </row>
    <row r="376" spans="1:18" x14ac:dyDescent="0.2">
      <c r="A376" t="str">
        <f t="shared" si="7"/>
        <v/>
      </c>
    </row>
    <row r="377" spans="1:18" x14ac:dyDescent="0.2">
      <c r="A377" t="str">
        <f t="shared" ref="A377:A387" si="8">IF(R377="","",CONCATENATE(R377,"_",Q377))</f>
        <v>MIX15_10</v>
      </c>
      <c r="B377" s="120">
        <f>IF('DGNB LCA Results'!$P$4=4,VLOOKUP(CONCATENATE('DGNB LCA Results'!$M$3,"_",Q377), $A$2:$P$352,2,FALSE)*'DGNB LCA Results'!$N$3+
                                                                  VLOOKUP(CONCATENATE('DGNB LCA Results'!$K$3,"_",Q377), $A$2:$P$352,2,FALSE)*'DGNB LCA Results'!$L$3+
                                                                  VLOOKUP(CONCATENATE('DGNB LCA Results'!$I$3,"_",Q377), $A$2:$P$352,2,FALSE)*'DGNB LCA Results'!$J$3+
                                                                  VLOOKUP(CONCATENATE('DGNB LCA Results'!$G$3,"_",Q377), $A$2:$P$352,2,FALSE)*'DGNB LCA Results'!$H$3,
IF('DGNB LCA Results'!$P$4=3,VLOOKUP(CONCATENATE('DGNB LCA Results'!$M$3,"_",Q377), $A$2:$P$352,2,FALSE)*'DGNB LCA Results'!$N$3+
                                                                VLOOKUP(CONCATENATE('DGNB LCA Results'!$K$3,"_",Q377), $A$2:$P$352,2,FALSE)*'DGNB LCA Results'!$L$3+
                                                                VLOOKUP(CONCATENATE('DGNB LCA Results'!$I$3,"_",Q377),$A$2:$P$352,2,FALSE)*'DGNB LCA Results'!$J$3,
IF('DGNB LCA Results'!$P$4=2,VLOOKUP(CONCATENATE('DGNB LCA Results'!$M$3,"_",Q377), $A$2:$P$352,2,FALSE)*'DGNB LCA Results'!$N$3+
                                                                 VLOOKUP(CONCATENATE('DGNB LCA Results'!$K$3,"_",Q377),$A$2:$P$352,2,FALSE)*'DGNB LCA Results'!$L$3,
IF('DGNB LCA Results'!$P$4=1,VLOOKUP(CONCATENATE('DGNB LCA Results'!$M$3,"_",Q377), $A$2:$P$352,2,FALSE)*'DGNB LCA Results'!$N$3,0))))</f>
        <v>0</v>
      </c>
      <c r="C377" s="49">
        <f>IF('DGNB LCA Results'!$P$4=4,VLOOKUP(CONCATENATE('DGNB LCA Results'!$M$3,"_",Q377), $A$2:$P$352,3,FALSE)*'DGNB LCA Results'!$N$3+
                                                                  VLOOKUP(CONCATENATE('DGNB LCA Results'!$K$3,"_",Q377), $A$2:$P$352,3,FALSE)*'DGNB LCA Results'!$L$3+
                                                                  VLOOKUP(CONCATENATE('DGNB LCA Results'!$I$3,"_",Q377), $A$2:$P$352,3,FALSE)*'DGNB LCA Results'!$J$3+
                                                                  VLOOKUP(CONCATENATE('DGNB LCA Results'!$G$3,"_",Q377), $A$2:$P$352,3,FALSE)*'DGNB LCA Results'!$H$3,
IF('DGNB LCA Results'!$P$4=3,VLOOKUP(CONCATENATE('DGNB LCA Results'!$M$3,"_",Q377), $A$2:$P$352,3,FALSE)*'DGNB LCA Results'!$N$3+
                                                                VLOOKUP(CONCATENATE('DGNB LCA Results'!$K$3,"_",Q377), $A$2:$P$352,3,FALSE)*'DGNB LCA Results'!$L$3+
                                                                VLOOKUP(CONCATENATE('DGNB LCA Results'!$I$3,"_",Q377),$A$2:$P$352,3,FALSE)*'DGNB LCA Results'!$J$3,
IF('DGNB LCA Results'!$P$4=2,VLOOKUP(CONCATENATE('DGNB LCA Results'!$M$3,"_",Q377), $A$2:$P$352,3,FALSE)*'DGNB LCA Results'!$N$3+
                                                                 VLOOKUP(CONCATENATE('DGNB LCA Results'!$K$3,"_",Q377),$A$2:$P$352,3,FALSE)*'DGNB LCA Results'!$L$3,
IF('DGNB LCA Results'!$P$4=1,VLOOKUP(CONCATENATE('DGNB LCA Results'!$M$3,"_",Q377), $A$2:$P$352,3,FALSE)*'DGNB LCA Results'!$N$3,0))))</f>
        <v>0</v>
      </c>
      <c r="D377" s="49">
        <f>IF('DGNB LCA Results'!$P$4=4,VLOOKUP(CONCATENATE('DGNB LCA Results'!$M$3,"_",Q377), $A$2:$P$352,4,FALSE)*'DGNB LCA Results'!$N$3+
                                                                  VLOOKUP(CONCATENATE('DGNB LCA Results'!$K$3,"_",Q377), $A$2:$P$352,4,FALSE)*'DGNB LCA Results'!$L$3+
                                                                  VLOOKUP(CONCATENATE('DGNB LCA Results'!$I$3,"_",Q377), $A$2:$P$352,4,FALSE)*'DGNB LCA Results'!$J$3+
                                                                  VLOOKUP(CONCATENATE('DGNB LCA Results'!$G$3,"_",Q377), $A$2:$P$352,4,FALSE)*'DGNB LCA Results'!$H$3,
IF('DGNB LCA Results'!$P$4=3,VLOOKUP(CONCATENATE('DGNB LCA Results'!$M$3,"_",Q377), $A$2:$P$352,4,FALSE)*'DGNB LCA Results'!$N$3+
                                                                VLOOKUP(CONCATENATE('DGNB LCA Results'!$K$3,"_",Q377), $A$2:$P$352,4,FALSE)*'DGNB LCA Results'!$L$3+
                                                                VLOOKUP(CONCATENATE('DGNB LCA Results'!$I$3,"_",Q377),$A$2:$P$352,4,FALSE)*'DGNB LCA Results'!$J$3,
IF('DGNB LCA Results'!$P$4=2,VLOOKUP(CONCATENATE('DGNB LCA Results'!$M$3,"_",Q377), $A$2:$P$352,4,FALSE)*'DGNB LCA Results'!$N$3+
                                                                 VLOOKUP(CONCATENATE('DGNB LCA Results'!$K$3,"_",Q377),$A$2:$P$352,4,FALSE)*'DGNB LCA Results'!$L$3,
IF('DGNB LCA Results'!$P$4=1,VLOOKUP(CONCATENATE('DGNB LCA Results'!$M$3,"_",Q377), $A$2:$P$352,4,FALSE)*'DGNB LCA Results'!$N$3,0))))</f>
        <v>0</v>
      </c>
      <c r="E377" s="120">
        <f>IF('DGNB LCA Results'!$P$4=4,VLOOKUP(CONCATENATE('DGNB LCA Results'!$M$3,"_",Q377), $A$2:$P$352,5,FALSE)*'DGNB LCA Results'!$N$3+
                                                                  VLOOKUP(CONCATENATE('DGNB LCA Results'!$K$3,"_",Q377), $A$2:$P$352,5,FALSE)*'DGNB LCA Results'!$L$3+
                                                                  VLOOKUP(CONCATENATE('DGNB LCA Results'!$I$3,"_",Q377), $A$2:$P$352,5,FALSE)*'DGNB LCA Results'!$J$3+
                                                                  VLOOKUP(CONCATENATE('DGNB LCA Results'!$G$3,"_",Q377), $A$2:$P$352,5,FALSE)*'DGNB LCA Results'!$H$3,
IF('DGNB LCA Results'!$P$4=3,VLOOKUP(CONCATENATE('DGNB LCA Results'!$M$3,"_",Q377), $A$2:$P$352,5,FALSE)*'DGNB LCA Results'!$N$3+
                                                                VLOOKUP(CONCATENATE('DGNB LCA Results'!$K$3,"_",Q377), $A$2:$P$352,5,FALSE)*'DGNB LCA Results'!$L$3+
                                                                VLOOKUP(CONCATENATE('DGNB LCA Results'!$I$3,"_",Q377),$A$2:$P$352,5,FALSE)*'DGNB LCA Results'!$J$3,
IF('DGNB LCA Results'!$P$4=2,VLOOKUP(CONCATENATE('DGNB LCA Results'!$M$3,"_",Q377), $A$2:$P$352,5,FALSE)*'DGNB LCA Results'!$N$3+
                                                                 VLOOKUP(CONCATENATE('DGNB LCA Results'!$K$3,"_",Q377),$A$2:$P$352,5,FALSE)*'DGNB LCA Results'!$L$3,
IF('DGNB LCA Results'!$P$4=1,VLOOKUP(CONCATENATE('DGNB LCA Results'!$M$3,"_",Q377), $A$2:$P$352,5,FALSE)*'DGNB LCA Results'!$N$3,0))))</f>
        <v>0</v>
      </c>
      <c r="F377" s="47">
        <f>IF('DGNB LCA Results'!$P$4=4,VLOOKUP(CONCATENATE('DGNB LCA Results'!$M$3,"_",Q377), $A$2:$P$352,6,FALSE)*'DGNB LCA Results'!$N$3+
                                                                  VLOOKUP(CONCATENATE('DGNB LCA Results'!$K$3,"_",Q377), $A$2:$P$352,6,FALSE)*'DGNB LCA Results'!$L$3+
                                                                  VLOOKUP(CONCATENATE('DGNB LCA Results'!$I$3,"_",Q377), $A$2:$P$352,6,FALSE)*'DGNB LCA Results'!$J$3+
                                                                  VLOOKUP(CONCATENATE('DGNB LCA Results'!$G$3,"_",Q377), $A$2:$P$352,6,FALSE)*'DGNB LCA Results'!$H$3,
IF('DGNB LCA Results'!$P$4=3,VLOOKUP(CONCATENATE('DGNB LCA Results'!$M$3,"_",Q377), $A$2:$P$352,6,FALSE)*'DGNB LCA Results'!$N$3+
                                                                VLOOKUP(CONCATENATE('DGNB LCA Results'!$K$3,"_",Q377), $A$2:$P$352,6,FALSE)*'DGNB LCA Results'!$L$3+
                                                                VLOOKUP(CONCATENATE('DGNB LCA Results'!$I$3,"_",Q377),$A$2:$P$352,6,FALSE)*'DGNB LCA Results'!$J$3,
IF('DGNB LCA Results'!$P$4=2,VLOOKUP(CONCATENATE('DGNB LCA Results'!$M$3,"_",Q377), $A$2:$P$352,6,FALSE)*'DGNB LCA Results'!$N$3+
                                                                 VLOOKUP(CONCATENATE('DGNB LCA Results'!$K$3,"_",Q377),$A$2:$P$352,6,FALSE)*'DGNB LCA Results'!$L$3,
IF('DGNB LCA Results'!$P$4=1,VLOOKUP(CONCATENATE('DGNB LCA Results'!$M$3,"_",Q377), $A$2:$P$352,6,FALSE)*'DGNB LCA Results'!$N$3,0))))</f>
        <v>0</v>
      </c>
      <c r="G377" s="121">
        <f>IF('DGNB LCA Results'!$P$4=4,VLOOKUP(CONCATENATE('DGNB LCA Results'!$M$3,"_",Q377), $A$2:$P$352,7,FALSE)*'DGNB LCA Results'!$N$3+
                                                                  VLOOKUP(CONCATENATE('DGNB LCA Results'!$K$3,"_",Q377), $A$2:$P$352,7,FALSE)*'DGNB LCA Results'!$L$3+
                                                                  VLOOKUP(CONCATENATE('DGNB LCA Results'!$I$3,"_",Q377), $A$2:$P$352,7,FALSE)*'DGNB LCA Results'!$J$3+
                                                                  VLOOKUP(CONCATENATE('DGNB LCA Results'!$G$3,"_",Q377), $A$2:$P$352,7,FALSE)*'DGNB LCA Results'!$H$3,
IF('DGNB LCA Results'!$P$4=3,VLOOKUP(CONCATENATE('DGNB LCA Results'!$M$3,"_",Q377), $A$2:$P$352,7,FALSE)*'DGNB LCA Results'!$N$3+
                                                                VLOOKUP(CONCATENATE('DGNB LCA Results'!$K$3,"_",Q377), $A$2:$P$352,7,FALSE)*'DGNB LCA Results'!$L$3+
                                                                VLOOKUP(CONCATENATE('DGNB LCA Results'!$I$3,"_",Q377),$A$2:$P$352,7,FALSE)*'DGNB LCA Results'!$J$3,
IF('DGNB LCA Results'!$P$4=2,VLOOKUP(CONCATENATE('DGNB LCA Results'!$M$3,"_",Q377), $A$2:$P$352,7,FALSE)*'DGNB LCA Results'!$N$3+
                                                                 VLOOKUP(CONCATENATE('DGNB LCA Results'!$K$3,"_",Q377),$A$2:$P$352,7,FALSE)*'DGNB LCA Results'!$L$3,
IF('DGNB LCA Results'!$P$4=1,VLOOKUP(CONCATENATE('DGNB LCA Results'!$M$3,"_",Q377), $A$2:$P$352,7,FALSE)*'DGNB LCA Results'!$N$3,0))))</f>
        <v>0</v>
      </c>
      <c r="H377" s="120">
        <f>IF('DGNB LCA Results'!$P$4=4,VLOOKUP(CONCATENATE('DGNB LCA Results'!$M$3,"_",Q377), $A$2:$P$352,8,FALSE)*'DGNB LCA Results'!$N$3+
                                                                  VLOOKUP(CONCATENATE('DGNB LCA Results'!$K$3,"_",Q377), $A$2:$P$352,8,FALSE)*'DGNB LCA Results'!$L$3+
                                                                  VLOOKUP(CONCATENATE('DGNB LCA Results'!$I$3,"_",Q377), $A$2:$P$352,8,FALSE)*'DGNB LCA Results'!$J$3+
                                                                  VLOOKUP(CONCATENATE('DGNB LCA Results'!$G$3,"_",Q377), $A$2:$P$352,8,FALSE)*'DGNB LCA Results'!$H$3,
IF('DGNB LCA Results'!$P$4=3,VLOOKUP(CONCATENATE('DGNB LCA Results'!$M$3,"_",Q377), $A$2:$P$352,8,FALSE)*'DGNB LCA Results'!$N$3+
                                                                VLOOKUP(CONCATENATE('DGNB LCA Results'!$K$3,"_",Q377), $A$2:$P$352,8,FALSE)*'DGNB LCA Results'!$L$3+
                                                                VLOOKUP(CONCATENATE('DGNB LCA Results'!$I$3,"_",Q377),$A$2:$P$352,8,FALSE)*'DGNB LCA Results'!$J$3,
IF('DGNB LCA Results'!$P$4=2,VLOOKUP(CONCATENATE('DGNB LCA Results'!$M$3,"_",Q377), $A$2:$P$352,8,FALSE)*'DGNB LCA Results'!$N$3+
                                                                 VLOOKUP(CONCATENATE('DGNB LCA Results'!$K$3,"_",Q377),$A$2:$P$352,8,FALSE)*'DGNB LCA Results'!$L$3,
IF('DGNB LCA Results'!$P$4=1,VLOOKUP(CONCATENATE('DGNB LCA Results'!$M$3,"_",Q377), $A$2:$P$352,8,FALSE)*'DGNB LCA Results'!$N$3,0))))</f>
        <v>0</v>
      </c>
      <c r="I377" s="47">
        <f>IF('DGNB LCA Results'!$P$4=4,VLOOKUP(CONCATENATE('DGNB LCA Results'!$M$3,"_",Q377), $A$2:$P$352,9,FALSE)*'DGNB LCA Results'!$N$3+
                                                                  VLOOKUP(CONCATENATE('DGNB LCA Results'!$K$3,"_",Q377), $A$2:$P$352,9,FALSE)*'DGNB LCA Results'!$L$3+
                                                                  VLOOKUP(CONCATENATE('DGNB LCA Results'!$I$3,"_",Q377), $A$2:$P$352,9,FALSE)*'DGNB LCA Results'!$J$3+
                                                                  VLOOKUP(CONCATENATE('DGNB LCA Results'!$G$3,"_",Q377), $A$2:$P$352,9,FALSE)*'DGNB LCA Results'!$H$3,
IF('DGNB LCA Results'!$P$4=3,VLOOKUP(CONCATENATE('DGNB LCA Results'!$M$3,"_",Q377), $A$2:$P$352,9,FALSE)*'DGNB LCA Results'!$N$3+
                                                                VLOOKUP(CONCATENATE('DGNB LCA Results'!$K$3,"_",Q377), $A$2:$P$352,9,FALSE)*'DGNB LCA Results'!$L$3+
                                                                VLOOKUP(CONCATENATE('DGNB LCA Results'!$I$3,"_",Q377),$A$2:$P$352,9,FALSE)*'DGNB LCA Results'!$J$3,
IF('DGNB LCA Results'!$P$4=2,VLOOKUP(CONCATENATE('DGNB LCA Results'!$M$3,"_",Q377), $A$2:$P$352,9,FALSE)*'DGNB LCA Results'!$N$3+
                                                                 VLOOKUP(CONCATENATE('DGNB LCA Results'!$K$3,"_",Q377),$A$2:$P$352,9,FALSE)*'DGNB LCA Results'!$L$3,
IF('DGNB LCA Results'!$P$4=1,VLOOKUP(CONCATENATE('DGNB LCA Results'!$M$3,"_",Q377), $A$2:$P$352,9,FALSE)*'DGNB LCA Results'!$N$3,0))))</f>
        <v>0</v>
      </c>
      <c r="J377" s="121">
        <f>IF('DGNB LCA Results'!$P$4=4,VLOOKUP(CONCATENATE('DGNB LCA Results'!$M$3,"_",Q377), $A$2:$P$352,10,FALSE)*'DGNB LCA Results'!$N$3+
                                                                  VLOOKUP(CONCATENATE('DGNB LCA Results'!$K$3,"_",Q377), $A$2:$P$352,10,FALSE)*'DGNB LCA Results'!$L$3+
                                                                  VLOOKUP(CONCATENATE('DGNB LCA Results'!$I$3,"_",Q377), $A$2:$P$352,10,FALSE)*'DGNB LCA Results'!$J$3+
                                                                  VLOOKUP(CONCATENATE('DGNB LCA Results'!$G$3,"_",Q377), $A$2:$P$352,10,FALSE)*'DGNB LCA Results'!$H$3,
IF('DGNB LCA Results'!$P$4=3,VLOOKUP(CONCATENATE('DGNB LCA Results'!$M$3,"_",Q377), $A$2:$P$352,10,FALSE)*'DGNB LCA Results'!$N$3+
                                                                VLOOKUP(CONCATENATE('DGNB LCA Results'!$K$3,"_",Q377), $A$2:$P$352,10,FALSE)*'DGNB LCA Results'!$L$3+
                                                                VLOOKUP(CONCATENATE('DGNB LCA Results'!$I$3,"_",Q377),$A$2:$P$352,10,FALSE)*'DGNB LCA Results'!$J$3,
IF('DGNB LCA Results'!$P$4=2,VLOOKUP(CONCATENATE('DGNB LCA Results'!$M$3,"_",Q377), $A$2:$P$352,10,FALSE)*'DGNB LCA Results'!$N$3+
                                                                 VLOOKUP(CONCATENATE('DGNB LCA Results'!$K$3,"_",Q377),$A$2:$P$352,10,FALSE)*'DGNB LCA Results'!$L$3,
IF('DGNB LCA Results'!$P$4=1,VLOOKUP(CONCATENATE('DGNB LCA Results'!$M$3,"_",Q377), $A$2:$P$352,10,FALSE)*'DGNB LCA Results'!$N$3,0))))</f>
        <v>0</v>
      </c>
      <c r="K377" s="120">
        <f>IF('DGNB LCA Results'!$P$4=4,VLOOKUP(CONCATENATE('DGNB LCA Results'!$M$3,"_",Q377), $A$2:$P$352,11,FALSE)*'DGNB LCA Results'!$N$3+
                                                                  VLOOKUP(CONCATENATE('DGNB LCA Results'!$K$3,"_",Q377), $A$2:$P$352,11,FALSE)*'DGNB LCA Results'!$L$3+
                                                                  VLOOKUP(CONCATENATE('DGNB LCA Results'!$I$3,"_",Q377), $A$2:$P$352,11,FALSE)*'DGNB LCA Results'!$J$3+
                                                                  VLOOKUP(CONCATENATE('DGNB LCA Results'!$G$3,"_",Q377), $A$2:$P$352,11,FALSE)*'DGNB LCA Results'!$H$3,
IF('DGNB LCA Results'!$P$4=3,VLOOKUP(CONCATENATE('DGNB LCA Results'!$M$3,"_",Q377), $A$2:$P$352,11,FALSE)*'DGNB LCA Results'!$N$3+
                                                                VLOOKUP(CONCATENATE('DGNB LCA Results'!$K$3,"_",Q377), $A$2:$P$352,11,FALSE)*'DGNB LCA Results'!$L$3+
                                                                VLOOKUP(CONCATENATE('DGNB LCA Results'!$I$3,"_",Q377),$A$2:$P$352,11,FALSE)*'DGNB LCA Results'!$J$3,
IF('DGNB LCA Results'!$P$4=2,VLOOKUP(CONCATENATE('DGNB LCA Results'!$M$3,"_",Q377), $A$2:$P$352,11,FALSE)*'DGNB LCA Results'!$N$3+
                                                                 VLOOKUP(CONCATENATE('DGNB LCA Results'!$K$3,"_",Q377),$A$2:$P$352,11,FALSE)*'DGNB LCA Results'!$L$3,
IF('DGNB LCA Results'!$P$4=1,VLOOKUP(CONCATENATE('DGNB LCA Results'!$M$3,"_",Q377), $A$2:$P$352,11,FALSE)*'DGNB LCA Results'!$N$3,0))))</f>
        <v>0</v>
      </c>
      <c r="L377" s="47">
        <f>IF('DGNB LCA Results'!$P$4=4,VLOOKUP(CONCATENATE('DGNB LCA Results'!$M$3,"_",Q377), $A$2:$P$352,12,FALSE)*'DGNB LCA Results'!$N$3+
                                                                  VLOOKUP(CONCATENATE('DGNB LCA Results'!$K$3,"_",Q377), $A$2:$P$352,12,FALSE)*'DGNB LCA Results'!$L$3+
                                                                  VLOOKUP(CONCATENATE('DGNB LCA Results'!$I$3,"_",Q377), $A$2:$P$352,12,FALSE)*'DGNB LCA Results'!$J$3+
                                                                  VLOOKUP(CONCATENATE('DGNB LCA Results'!$G$3,"_",Q377), $A$2:$P$352,12,FALSE)*'DGNB LCA Results'!$H$3,
IF('DGNB LCA Results'!$P$4=3,VLOOKUP(CONCATENATE('DGNB LCA Results'!$M$3,"_",Q377), $A$2:$P$352,12,FALSE)*'DGNB LCA Results'!$N$3+
                                                                VLOOKUP(CONCATENATE('DGNB LCA Results'!$K$3,"_",Q377), $A$2:$P$352,12,FALSE)*'DGNB LCA Results'!$L$3+
                                                                VLOOKUP(CONCATENATE('DGNB LCA Results'!$I$3,"_",Q377),$A$2:$P$352,12,FALSE)*'DGNB LCA Results'!$J$3,
IF('DGNB LCA Results'!$P$4=2,VLOOKUP(CONCATENATE('DGNB LCA Results'!$M$3,"_",Q377), $A$2:$P$352,12,FALSE)*'DGNB LCA Results'!$N$3+
                                                                 VLOOKUP(CONCATENATE('DGNB LCA Results'!$K$3,"_",Q377),$A$2:$P$352,12,FALSE)*'DGNB LCA Results'!$L$3,
IF('DGNB LCA Results'!$P$4=1,VLOOKUP(CONCATENATE('DGNB LCA Results'!$M$3,"_",Q377), $A$2:$P$352,12,FALSE)*'DGNB LCA Results'!$N$3,0))))</f>
        <v>0</v>
      </c>
      <c r="M377" s="121">
        <f>IF('DGNB LCA Results'!$P$4=4,VLOOKUP(CONCATENATE('DGNB LCA Results'!$M$3,"_",Q377), $A$2:$P$352,13,FALSE)*'DGNB LCA Results'!$N$3+
                                                                  VLOOKUP(CONCATENATE('DGNB LCA Results'!$K$3,"_",Q377), $A$2:$P$352,13,FALSE)*'DGNB LCA Results'!$L$3+
                                                                  VLOOKUP(CONCATENATE('DGNB LCA Results'!$I$3,"_",Q377), $A$2:$P$352,13,FALSE)*'DGNB LCA Results'!$J$3+
                                                                  VLOOKUP(CONCATENATE('DGNB LCA Results'!$G$3,"_",Q377), $A$2:$P$352,13,FALSE)*'DGNB LCA Results'!$H$3,
IF('DGNB LCA Results'!$P$4=3,VLOOKUP(CONCATENATE('DGNB LCA Results'!$M$3,"_",Q377), $A$2:$P$352,13,FALSE)*'DGNB LCA Results'!$N$3+
                                                                VLOOKUP(CONCATENATE('DGNB LCA Results'!$K$3,"_",Q377), $A$2:$P$352,13,FALSE)*'DGNB LCA Results'!$L$3+
                                                                VLOOKUP(CONCATENATE('DGNB LCA Results'!$I$3,"_",Q377),$A$2:$P$352,13,FALSE)*'DGNB LCA Results'!$J$3,
IF('DGNB LCA Results'!$P$4=2,VLOOKUP(CONCATENATE('DGNB LCA Results'!$M$3,"_",Q377), $A$2:$P$352,13,FALSE)*'DGNB LCA Results'!$N$3+
                                                                 VLOOKUP(CONCATENATE('DGNB LCA Results'!$K$3,"_",Q377),$A$2:$P$352,13,FALSE)*'DGNB LCA Results'!$L$3,
IF('DGNB LCA Results'!$P$4=1,VLOOKUP(CONCATENATE('DGNB LCA Results'!$M$3,"_",Q377), $A$2:$P$352,13,FALSE)*'DGNB LCA Results'!$N$3,0))))</f>
        <v>0</v>
      </c>
      <c r="N377" s="120">
        <f>IF('DGNB LCA Results'!$P$4=4,VLOOKUP(CONCATENATE('DGNB LCA Results'!$M$3,"_",Q377), $A$2:$P$352,14,FALSE)*'DGNB LCA Results'!$N$3+
                                                                  VLOOKUP(CONCATENATE('DGNB LCA Results'!$K$3,"_",Q377), $A$2:$P$352,14,FALSE)*'DGNB LCA Results'!$L$3+
                                                                  VLOOKUP(CONCATENATE('DGNB LCA Results'!$I$3,"_",Q377), $A$2:$P$352,14,FALSE)*'DGNB LCA Results'!$J$3+
                                                                  VLOOKUP(CONCATENATE('DGNB LCA Results'!$G$3,"_",Q377), $A$2:$P$352,14,FALSE)*'DGNB LCA Results'!$H$3,
IF('DGNB LCA Results'!$P$4=3,VLOOKUP(CONCATENATE('DGNB LCA Results'!$M$3,"_",Q377), $A$2:$P$352,14,FALSE)*'DGNB LCA Results'!$N$3+
                                                                VLOOKUP(CONCATENATE('DGNB LCA Results'!$K$3,"_",Q377), $A$2:$P$352,14,FALSE)*'DGNB LCA Results'!$L$3+
                                                                VLOOKUP(CONCATENATE('DGNB LCA Results'!$I$3,"_",Q377),$A$2:$P$352,14,FALSE)*'DGNB LCA Results'!$J$3,
IF('DGNB LCA Results'!$P$4=2,VLOOKUP(CONCATENATE('DGNB LCA Results'!$M$3,"_",Q377), $A$2:$P$352,14,FALSE)*'DGNB LCA Results'!$N$3+
                                                                 VLOOKUP(CONCATENATE('DGNB LCA Results'!$K$3,"_",Q377),$A$2:$P$352,14,FALSE)*'DGNB LCA Results'!$L$3,
IF('DGNB LCA Results'!$P$4=1,VLOOKUP(CONCATENATE('DGNB LCA Results'!$M$3,"_",Q377), $A$2:$P$352,14,FALSE)*'DGNB LCA Results'!$N$3,0))))</f>
        <v>0</v>
      </c>
      <c r="O377" s="47">
        <f>IF('DGNB LCA Results'!$P$4=4,VLOOKUP(CONCATENATE('DGNB LCA Results'!$M$3,"_",Q377), $A$2:$P$352,15,FALSE)*'DGNB LCA Results'!$N$3+
                                                                  VLOOKUP(CONCATENATE('DGNB LCA Results'!$K$3,"_",Q377), $A$2:$P$352,15,FALSE)*'DGNB LCA Results'!$L$3+
                                                                  VLOOKUP(CONCATENATE('DGNB LCA Results'!$I$3,"_",Q377), $A$2:$P$352,15,FALSE)*'DGNB LCA Results'!$J$3+
                                                                  VLOOKUP(CONCATENATE('DGNB LCA Results'!$G$3,"_",Q377), $A$2:$P$352,15,FALSE)*'DGNB LCA Results'!$H$3,
IF('DGNB LCA Results'!$P$4=3,VLOOKUP(CONCATENATE('DGNB LCA Results'!$M$3,"_",Q377), $A$2:$P$352,15,FALSE)*'DGNB LCA Results'!$N$3+
                                                                VLOOKUP(CONCATENATE('DGNB LCA Results'!$K$3,"_",Q377), $A$2:$P$352,15,FALSE)*'DGNB LCA Results'!$L$3+
                                                                VLOOKUP(CONCATENATE('DGNB LCA Results'!$I$3,"_",Q377),$A$2:$P$352,15,FALSE)*'DGNB LCA Results'!$J$3,
IF('DGNB LCA Results'!$P$4=2,VLOOKUP(CONCATENATE('DGNB LCA Results'!$M$3,"_",Q377), $A$2:$P$352,15,FALSE)*'DGNB LCA Results'!$N$3+
                                                                 VLOOKUP(CONCATENATE('DGNB LCA Results'!$K$3,"_",Q377),$A$2:$P$352,15,FALSE)*'DGNB LCA Results'!$L$3,
IF('DGNB LCA Results'!$P$4=1,VLOOKUP(CONCATENATE('DGNB LCA Results'!$M$3,"_",Q377), $A$2:$P$352,15,FALSE)*'DGNB LCA Results'!$N$3,0))))</f>
        <v>0</v>
      </c>
      <c r="P377" s="121">
        <f>IF('DGNB LCA Results'!$P$4=4,VLOOKUP(CONCATENATE('DGNB LCA Results'!$M$3,"_",Q377), $A$2:$P$352,16,FALSE)*'DGNB LCA Results'!$N$3+
                                                                  VLOOKUP(CONCATENATE('DGNB LCA Results'!$K$3,"_",Q377), $A$2:$P$352,16,FALSE)*'DGNB LCA Results'!$L$3+
                                                                  VLOOKUP(CONCATENATE('DGNB LCA Results'!$I$3,"_",Q377), $A$2:$P$352,16,FALSE)*'DGNB LCA Results'!$J$3+
                                                                  VLOOKUP(CONCATENATE('DGNB LCA Results'!$G$3,"_",Q377), $A$2:$P$352,16,FALSE)*'DGNB LCA Results'!$H$3,
IF('DGNB LCA Results'!$P$4=3,VLOOKUP(CONCATENATE('DGNB LCA Results'!$M$3,"_",Q377), $A$2:$P$352,16,FALSE)*'DGNB LCA Results'!$N$3+
                                                                VLOOKUP(CONCATENATE('DGNB LCA Results'!$K$3,"_",Q377), $A$2:$P$352,16,FALSE)*'DGNB LCA Results'!$L$3+
                                                                VLOOKUP(CONCATENATE('DGNB LCA Results'!$I$3,"_",Q377),$A$2:$P$352,16,FALSE)*'DGNB LCA Results'!$J$3,
IF('DGNB LCA Results'!$P$4=2,VLOOKUP(CONCATENATE('DGNB LCA Results'!$M$3,"_",Q377), $A$2:$P$352,16,FALSE)*'DGNB LCA Results'!$N$3+
                                                                 VLOOKUP(CONCATENATE('DGNB LCA Results'!$K$3,"_",Q377),$A$2:$P$352,16,FALSE)*'DGNB LCA Results'!$L$3,
IF('DGNB LCA Results'!$P$4=1,VLOOKUP(CONCATENATE('DGNB LCA Results'!$M$3,"_",Q377), $A$2:$P$352,16,FALSE)*'DGNB LCA Results'!$N$3,0))))</f>
        <v>0</v>
      </c>
      <c r="Q377">
        <v>10</v>
      </c>
      <c r="R377" t="s">
        <v>194</v>
      </c>
    </row>
    <row r="378" spans="1:18" x14ac:dyDescent="0.2">
      <c r="A378" t="str">
        <f t="shared" si="8"/>
        <v>MIX15_20</v>
      </c>
      <c r="B378" s="120">
        <f>IF('DGNB LCA Results'!$P$4=4,VLOOKUP(CONCATENATE('DGNB LCA Results'!$M$3,"_",Q378), $A$2:$P$352,2,FALSE)*'DGNB LCA Results'!$N$3+
                                                                  VLOOKUP(CONCATENATE('DGNB LCA Results'!$K$3,"_",Q378), $A$2:$P$352,2,FALSE)*'DGNB LCA Results'!$L$3+
                                                                  VLOOKUP(CONCATENATE('DGNB LCA Results'!$I$3,"_",Q378), $A$2:$P$352,2,FALSE)*'DGNB LCA Results'!$J$3+
                                                                  VLOOKUP(CONCATENATE('DGNB LCA Results'!$G$3,"_",Q378), $A$2:$P$352,2,FALSE)*'DGNB LCA Results'!$H$3,
IF('DGNB LCA Results'!$P$4=3,VLOOKUP(CONCATENATE('DGNB LCA Results'!$M$3,"_",Q378), $A$2:$P$352,2,FALSE)*'DGNB LCA Results'!$N$3+
                                                                VLOOKUP(CONCATENATE('DGNB LCA Results'!$K$3,"_",Q378), $A$2:$P$352,2,FALSE)*'DGNB LCA Results'!$L$3+
                                                                VLOOKUP(CONCATENATE('DGNB LCA Results'!$I$3,"_",Q378),$A$2:$P$352,2,FALSE)*'DGNB LCA Results'!$J$3,
IF('DGNB LCA Results'!$P$4=2,VLOOKUP(CONCATENATE('DGNB LCA Results'!$M$3,"_",Q378), $A$2:$P$352,2,FALSE)*'DGNB LCA Results'!$N$3+
                                                                 VLOOKUP(CONCATENATE('DGNB LCA Results'!$K$3,"_",Q378),$A$2:$P$352,2,FALSE)*'DGNB LCA Results'!$L$3,
IF('DGNB LCA Results'!$P$4=1,VLOOKUP(CONCATENATE('DGNB LCA Results'!$M$3,"_",Q378), $A$2:$P$352,2,FALSE)*'DGNB LCA Results'!$N$3,0))))</f>
        <v>0</v>
      </c>
      <c r="C378" s="49">
        <f>IF('DGNB LCA Results'!$P$4=4,VLOOKUP(CONCATENATE('DGNB LCA Results'!$M$3,"_",Q378), $A$2:$P$352,3,FALSE)*'DGNB LCA Results'!$N$3+
                                                                  VLOOKUP(CONCATENATE('DGNB LCA Results'!$K$3,"_",Q378), $A$2:$P$352,3,FALSE)*'DGNB LCA Results'!$L$3+
                                                                  VLOOKUP(CONCATENATE('DGNB LCA Results'!$I$3,"_",Q378), $A$2:$P$352,3,FALSE)*'DGNB LCA Results'!$J$3+
                                                                  VLOOKUP(CONCATENATE('DGNB LCA Results'!$G$3,"_",Q378), $A$2:$P$352,3,FALSE)*'DGNB LCA Results'!$H$3,
IF('DGNB LCA Results'!$P$4=3,VLOOKUP(CONCATENATE('DGNB LCA Results'!$M$3,"_",Q378), $A$2:$P$352,3,FALSE)*'DGNB LCA Results'!$N$3+
                                                                VLOOKUP(CONCATENATE('DGNB LCA Results'!$K$3,"_",Q378), $A$2:$P$352,3,FALSE)*'DGNB LCA Results'!$L$3+
                                                                VLOOKUP(CONCATENATE('DGNB LCA Results'!$I$3,"_",Q378),$A$2:$P$352,3,FALSE)*'DGNB LCA Results'!$J$3,
IF('DGNB LCA Results'!$P$4=2,VLOOKUP(CONCATENATE('DGNB LCA Results'!$M$3,"_",Q378), $A$2:$P$352,3,FALSE)*'DGNB LCA Results'!$N$3+
                                                                 VLOOKUP(CONCATENATE('DGNB LCA Results'!$K$3,"_",Q378),$A$2:$P$352,3,FALSE)*'DGNB LCA Results'!$L$3,
IF('DGNB LCA Results'!$P$4=1,VLOOKUP(CONCATENATE('DGNB LCA Results'!$M$3,"_",Q378), $A$2:$P$352,3,FALSE)*'DGNB LCA Results'!$N$3,0))))</f>
        <v>0</v>
      </c>
      <c r="D378" s="49">
        <f>IF('DGNB LCA Results'!$P$4=4,VLOOKUP(CONCATENATE('DGNB LCA Results'!$M$3,"_",Q378), $A$2:$P$352,4,FALSE)*'DGNB LCA Results'!$N$3+
                                                                  VLOOKUP(CONCATENATE('DGNB LCA Results'!$K$3,"_",Q378), $A$2:$P$352,4,FALSE)*'DGNB LCA Results'!$L$3+
                                                                  VLOOKUP(CONCATENATE('DGNB LCA Results'!$I$3,"_",Q378), $A$2:$P$352,4,FALSE)*'DGNB LCA Results'!$J$3+
                                                                  VLOOKUP(CONCATENATE('DGNB LCA Results'!$G$3,"_",Q378), $A$2:$P$352,4,FALSE)*'DGNB LCA Results'!$H$3,
IF('DGNB LCA Results'!$P$4=3,VLOOKUP(CONCATENATE('DGNB LCA Results'!$M$3,"_",Q378), $A$2:$P$352,4,FALSE)*'DGNB LCA Results'!$N$3+
                                                                VLOOKUP(CONCATENATE('DGNB LCA Results'!$K$3,"_",Q378), $A$2:$P$352,4,FALSE)*'DGNB LCA Results'!$L$3+
                                                                VLOOKUP(CONCATENATE('DGNB LCA Results'!$I$3,"_",Q378),$A$2:$P$352,4,FALSE)*'DGNB LCA Results'!$J$3,
IF('DGNB LCA Results'!$P$4=2,VLOOKUP(CONCATENATE('DGNB LCA Results'!$M$3,"_",Q378), $A$2:$P$352,4,FALSE)*'DGNB LCA Results'!$N$3+
                                                                 VLOOKUP(CONCATENATE('DGNB LCA Results'!$K$3,"_",Q378),$A$2:$P$352,4,FALSE)*'DGNB LCA Results'!$L$3,
IF('DGNB LCA Results'!$P$4=1,VLOOKUP(CONCATENATE('DGNB LCA Results'!$M$3,"_",Q378), $A$2:$P$352,4,FALSE)*'DGNB LCA Results'!$N$3,0))))</f>
        <v>0</v>
      </c>
      <c r="E378" s="120">
        <f>IF('DGNB LCA Results'!$P$4=4,VLOOKUP(CONCATENATE('DGNB LCA Results'!$M$3,"_",Q378), $A$2:$P$352,5,FALSE)*'DGNB LCA Results'!$N$3+
                                                                  VLOOKUP(CONCATENATE('DGNB LCA Results'!$K$3,"_",Q378), $A$2:$P$352,5,FALSE)*'DGNB LCA Results'!$L$3+
                                                                  VLOOKUP(CONCATENATE('DGNB LCA Results'!$I$3,"_",Q378), $A$2:$P$352,5,FALSE)*'DGNB LCA Results'!$J$3+
                                                                  VLOOKUP(CONCATENATE('DGNB LCA Results'!$G$3,"_",Q378), $A$2:$P$352,5,FALSE)*'DGNB LCA Results'!$H$3,
IF('DGNB LCA Results'!$P$4=3,VLOOKUP(CONCATENATE('DGNB LCA Results'!$M$3,"_",Q378), $A$2:$P$352,5,FALSE)*'DGNB LCA Results'!$N$3+
                                                                VLOOKUP(CONCATENATE('DGNB LCA Results'!$K$3,"_",Q378), $A$2:$P$352,5,FALSE)*'DGNB LCA Results'!$L$3+
                                                                VLOOKUP(CONCATENATE('DGNB LCA Results'!$I$3,"_",Q378),$A$2:$P$352,5,FALSE)*'DGNB LCA Results'!$J$3,
IF('DGNB LCA Results'!$P$4=2,VLOOKUP(CONCATENATE('DGNB LCA Results'!$M$3,"_",Q378), $A$2:$P$352,5,FALSE)*'DGNB LCA Results'!$N$3+
                                                                 VLOOKUP(CONCATENATE('DGNB LCA Results'!$K$3,"_",Q378),$A$2:$P$352,5,FALSE)*'DGNB LCA Results'!$L$3,
IF('DGNB LCA Results'!$P$4=1,VLOOKUP(CONCATENATE('DGNB LCA Results'!$M$3,"_",Q378), $A$2:$P$352,5,FALSE)*'DGNB LCA Results'!$N$3,0))))</f>
        <v>0</v>
      </c>
      <c r="F378" s="47">
        <f>IF('DGNB LCA Results'!$P$4=4,VLOOKUP(CONCATENATE('DGNB LCA Results'!$M$3,"_",Q378), $A$2:$P$352,6,FALSE)*'DGNB LCA Results'!$N$3+
                                                                  VLOOKUP(CONCATENATE('DGNB LCA Results'!$K$3,"_",Q378), $A$2:$P$352,6,FALSE)*'DGNB LCA Results'!$L$3+
                                                                  VLOOKUP(CONCATENATE('DGNB LCA Results'!$I$3,"_",Q378), $A$2:$P$352,6,FALSE)*'DGNB LCA Results'!$J$3+
                                                                  VLOOKUP(CONCATENATE('DGNB LCA Results'!$G$3,"_",Q378), $A$2:$P$352,6,FALSE)*'DGNB LCA Results'!$H$3,
IF('DGNB LCA Results'!$P$4=3,VLOOKUP(CONCATENATE('DGNB LCA Results'!$M$3,"_",Q378), $A$2:$P$352,6,FALSE)*'DGNB LCA Results'!$N$3+
                                                                VLOOKUP(CONCATENATE('DGNB LCA Results'!$K$3,"_",Q378), $A$2:$P$352,6,FALSE)*'DGNB LCA Results'!$L$3+
                                                                VLOOKUP(CONCATENATE('DGNB LCA Results'!$I$3,"_",Q378),$A$2:$P$352,6,FALSE)*'DGNB LCA Results'!$J$3,
IF('DGNB LCA Results'!$P$4=2,VLOOKUP(CONCATENATE('DGNB LCA Results'!$M$3,"_",Q378), $A$2:$P$352,6,FALSE)*'DGNB LCA Results'!$N$3+
                                                                 VLOOKUP(CONCATENATE('DGNB LCA Results'!$K$3,"_",Q378),$A$2:$P$352,6,FALSE)*'DGNB LCA Results'!$L$3,
IF('DGNB LCA Results'!$P$4=1,VLOOKUP(CONCATENATE('DGNB LCA Results'!$M$3,"_",Q378), $A$2:$P$352,6,FALSE)*'DGNB LCA Results'!$N$3,0))))</f>
        <v>0</v>
      </c>
      <c r="G378" s="121">
        <f>IF('DGNB LCA Results'!$P$4=4,VLOOKUP(CONCATENATE('DGNB LCA Results'!$M$3,"_",Q378), $A$2:$P$352,7,FALSE)*'DGNB LCA Results'!$N$3+
                                                                  VLOOKUP(CONCATENATE('DGNB LCA Results'!$K$3,"_",Q378), $A$2:$P$352,7,FALSE)*'DGNB LCA Results'!$L$3+
                                                                  VLOOKUP(CONCATENATE('DGNB LCA Results'!$I$3,"_",Q378), $A$2:$P$352,7,FALSE)*'DGNB LCA Results'!$J$3+
                                                                  VLOOKUP(CONCATENATE('DGNB LCA Results'!$G$3,"_",Q378), $A$2:$P$352,7,FALSE)*'DGNB LCA Results'!$H$3,
IF('DGNB LCA Results'!$P$4=3,VLOOKUP(CONCATENATE('DGNB LCA Results'!$M$3,"_",Q378), $A$2:$P$352,7,FALSE)*'DGNB LCA Results'!$N$3+
                                                                VLOOKUP(CONCATENATE('DGNB LCA Results'!$K$3,"_",Q378), $A$2:$P$352,7,FALSE)*'DGNB LCA Results'!$L$3+
                                                                VLOOKUP(CONCATENATE('DGNB LCA Results'!$I$3,"_",Q378),$A$2:$P$352,7,FALSE)*'DGNB LCA Results'!$J$3,
IF('DGNB LCA Results'!$P$4=2,VLOOKUP(CONCATENATE('DGNB LCA Results'!$M$3,"_",Q378), $A$2:$P$352,7,FALSE)*'DGNB LCA Results'!$N$3+
                                                                 VLOOKUP(CONCATENATE('DGNB LCA Results'!$K$3,"_",Q378),$A$2:$P$352,7,FALSE)*'DGNB LCA Results'!$L$3,
IF('DGNB LCA Results'!$P$4=1,VLOOKUP(CONCATENATE('DGNB LCA Results'!$M$3,"_",Q378), $A$2:$P$352,7,FALSE)*'DGNB LCA Results'!$N$3,0))))</f>
        <v>0</v>
      </c>
      <c r="H378" s="120">
        <f>IF('DGNB LCA Results'!$P$4=4,VLOOKUP(CONCATENATE('DGNB LCA Results'!$M$3,"_",Q378), $A$2:$P$352,8,FALSE)*'DGNB LCA Results'!$N$3+
                                                                  VLOOKUP(CONCATENATE('DGNB LCA Results'!$K$3,"_",Q378), $A$2:$P$352,8,FALSE)*'DGNB LCA Results'!$L$3+
                                                                  VLOOKUP(CONCATENATE('DGNB LCA Results'!$I$3,"_",Q378), $A$2:$P$352,8,FALSE)*'DGNB LCA Results'!$J$3+
                                                                  VLOOKUP(CONCATENATE('DGNB LCA Results'!$G$3,"_",Q378), $A$2:$P$352,8,FALSE)*'DGNB LCA Results'!$H$3,
IF('DGNB LCA Results'!$P$4=3,VLOOKUP(CONCATENATE('DGNB LCA Results'!$M$3,"_",Q378), $A$2:$P$352,8,FALSE)*'DGNB LCA Results'!$N$3+
                                                                VLOOKUP(CONCATENATE('DGNB LCA Results'!$K$3,"_",Q378), $A$2:$P$352,8,FALSE)*'DGNB LCA Results'!$L$3+
                                                                VLOOKUP(CONCATENATE('DGNB LCA Results'!$I$3,"_",Q378),$A$2:$P$352,8,FALSE)*'DGNB LCA Results'!$J$3,
IF('DGNB LCA Results'!$P$4=2,VLOOKUP(CONCATENATE('DGNB LCA Results'!$M$3,"_",Q378), $A$2:$P$352,8,FALSE)*'DGNB LCA Results'!$N$3+
                                                                 VLOOKUP(CONCATENATE('DGNB LCA Results'!$K$3,"_",Q378),$A$2:$P$352,8,FALSE)*'DGNB LCA Results'!$L$3,
IF('DGNB LCA Results'!$P$4=1,VLOOKUP(CONCATENATE('DGNB LCA Results'!$M$3,"_",Q378), $A$2:$P$352,8,FALSE)*'DGNB LCA Results'!$N$3,0))))</f>
        <v>0</v>
      </c>
      <c r="I378" s="47">
        <f>IF('DGNB LCA Results'!$P$4=4,VLOOKUP(CONCATENATE('DGNB LCA Results'!$M$3,"_",Q378), $A$2:$P$352,9,FALSE)*'DGNB LCA Results'!$N$3+
                                                                  VLOOKUP(CONCATENATE('DGNB LCA Results'!$K$3,"_",Q378), $A$2:$P$352,9,FALSE)*'DGNB LCA Results'!$L$3+
                                                                  VLOOKUP(CONCATENATE('DGNB LCA Results'!$I$3,"_",Q378), $A$2:$P$352,9,FALSE)*'DGNB LCA Results'!$J$3+
                                                                  VLOOKUP(CONCATENATE('DGNB LCA Results'!$G$3,"_",Q378), $A$2:$P$352,9,FALSE)*'DGNB LCA Results'!$H$3,
IF('DGNB LCA Results'!$P$4=3,VLOOKUP(CONCATENATE('DGNB LCA Results'!$M$3,"_",Q378), $A$2:$P$352,9,FALSE)*'DGNB LCA Results'!$N$3+
                                                                VLOOKUP(CONCATENATE('DGNB LCA Results'!$K$3,"_",Q378), $A$2:$P$352,9,FALSE)*'DGNB LCA Results'!$L$3+
                                                                VLOOKUP(CONCATENATE('DGNB LCA Results'!$I$3,"_",Q378),$A$2:$P$352,9,FALSE)*'DGNB LCA Results'!$J$3,
IF('DGNB LCA Results'!$P$4=2,VLOOKUP(CONCATENATE('DGNB LCA Results'!$M$3,"_",Q378), $A$2:$P$352,9,FALSE)*'DGNB LCA Results'!$N$3+
                                                                 VLOOKUP(CONCATENATE('DGNB LCA Results'!$K$3,"_",Q378),$A$2:$P$352,9,FALSE)*'DGNB LCA Results'!$L$3,
IF('DGNB LCA Results'!$P$4=1,VLOOKUP(CONCATENATE('DGNB LCA Results'!$M$3,"_",Q378), $A$2:$P$352,9,FALSE)*'DGNB LCA Results'!$N$3,0))))</f>
        <v>0</v>
      </c>
      <c r="J378" s="121">
        <f>IF('DGNB LCA Results'!$P$4=4,VLOOKUP(CONCATENATE('DGNB LCA Results'!$M$3,"_",Q378), $A$2:$P$352,10,FALSE)*'DGNB LCA Results'!$N$3+
                                                                  VLOOKUP(CONCATENATE('DGNB LCA Results'!$K$3,"_",Q378), $A$2:$P$352,10,FALSE)*'DGNB LCA Results'!$L$3+
                                                                  VLOOKUP(CONCATENATE('DGNB LCA Results'!$I$3,"_",Q378), $A$2:$P$352,10,FALSE)*'DGNB LCA Results'!$J$3+
                                                                  VLOOKUP(CONCATENATE('DGNB LCA Results'!$G$3,"_",Q378), $A$2:$P$352,10,FALSE)*'DGNB LCA Results'!$H$3,
IF('DGNB LCA Results'!$P$4=3,VLOOKUP(CONCATENATE('DGNB LCA Results'!$M$3,"_",Q378), $A$2:$P$352,10,FALSE)*'DGNB LCA Results'!$N$3+
                                                                VLOOKUP(CONCATENATE('DGNB LCA Results'!$K$3,"_",Q378), $A$2:$P$352,10,FALSE)*'DGNB LCA Results'!$L$3+
                                                                VLOOKUP(CONCATENATE('DGNB LCA Results'!$I$3,"_",Q378),$A$2:$P$352,10,FALSE)*'DGNB LCA Results'!$J$3,
IF('DGNB LCA Results'!$P$4=2,VLOOKUP(CONCATENATE('DGNB LCA Results'!$M$3,"_",Q378), $A$2:$P$352,10,FALSE)*'DGNB LCA Results'!$N$3+
                                                                 VLOOKUP(CONCATENATE('DGNB LCA Results'!$K$3,"_",Q378),$A$2:$P$352,10,FALSE)*'DGNB LCA Results'!$L$3,
IF('DGNB LCA Results'!$P$4=1,VLOOKUP(CONCATENATE('DGNB LCA Results'!$M$3,"_",Q378), $A$2:$P$352,10,FALSE)*'DGNB LCA Results'!$N$3,0))))</f>
        <v>0</v>
      </c>
      <c r="K378" s="120">
        <f>IF('DGNB LCA Results'!$P$4=4,VLOOKUP(CONCATENATE('DGNB LCA Results'!$M$3,"_",Q378), $A$2:$P$352,11,FALSE)*'DGNB LCA Results'!$N$3+
                                                                  VLOOKUP(CONCATENATE('DGNB LCA Results'!$K$3,"_",Q378), $A$2:$P$352,11,FALSE)*'DGNB LCA Results'!$L$3+
                                                                  VLOOKUP(CONCATENATE('DGNB LCA Results'!$I$3,"_",Q378), $A$2:$P$352,11,FALSE)*'DGNB LCA Results'!$J$3+
                                                                  VLOOKUP(CONCATENATE('DGNB LCA Results'!$G$3,"_",Q378), $A$2:$P$352,11,FALSE)*'DGNB LCA Results'!$H$3,
IF('DGNB LCA Results'!$P$4=3,VLOOKUP(CONCATENATE('DGNB LCA Results'!$M$3,"_",Q378), $A$2:$P$352,11,FALSE)*'DGNB LCA Results'!$N$3+
                                                                VLOOKUP(CONCATENATE('DGNB LCA Results'!$K$3,"_",Q378), $A$2:$P$352,11,FALSE)*'DGNB LCA Results'!$L$3+
                                                                VLOOKUP(CONCATENATE('DGNB LCA Results'!$I$3,"_",Q378),$A$2:$P$352,11,FALSE)*'DGNB LCA Results'!$J$3,
IF('DGNB LCA Results'!$P$4=2,VLOOKUP(CONCATENATE('DGNB LCA Results'!$M$3,"_",Q378), $A$2:$P$352,11,FALSE)*'DGNB LCA Results'!$N$3+
                                                                 VLOOKUP(CONCATENATE('DGNB LCA Results'!$K$3,"_",Q378),$A$2:$P$352,11,FALSE)*'DGNB LCA Results'!$L$3,
IF('DGNB LCA Results'!$P$4=1,VLOOKUP(CONCATENATE('DGNB LCA Results'!$M$3,"_",Q378), $A$2:$P$352,11,FALSE)*'DGNB LCA Results'!$N$3,0))))</f>
        <v>0</v>
      </c>
      <c r="L378" s="47">
        <f>IF('DGNB LCA Results'!$P$4=4,VLOOKUP(CONCATENATE('DGNB LCA Results'!$M$3,"_",Q378), $A$2:$P$352,12,FALSE)*'DGNB LCA Results'!$N$3+
                                                                  VLOOKUP(CONCATENATE('DGNB LCA Results'!$K$3,"_",Q378), $A$2:$P$352,12,FALSE)*'DGNB LCA Results'!$L$3+
                                                                  VLOOKUP(CONCATENATE('DGNB LCA Results'!$I$3,"_",Q378), $A$2:$P$352,12,FALSE)*'DGNB LCA Results'!$J$3+
                                                                  VLOOKUP(CONCATENATE('DGNB LCA Results'!$G$3,"_",Q378), $A$2:$P$352,12,FALSE)*'DGNB LCA Results'!$H$3,
IF('DGNB LCA Results'!$P$4=3,VLOOKUP(CONCATENATE('DGNB LCA Results'!$M$3,"_",Q378), $A$2:$P$352,12,FALSE)*'DGNB LCA Results'!$N$3+
                                                                VLOOKUP(CONCATENATE('DGNB LCA Results'!$K$3,"_",Q378), $A$2:$P$352,12,FALSE)*'DGNB LCA Results'!$L$3+
                                                                VLOOKUP(CONCATENATE('DGNB LCA Results'!$I$3,"_",Q378),$A$2:$P$352,12,FALSE)*'DGNB LCA Results'!$J$3,
IF('DGNB LCA Results'!$P$4=2,VLOOKUP(CONCATENATE('DGNB LCA Results'!$M$3,"_",Q378), $A$2:$P$352,12,FALSE)*'DGNB LCA Results'!$N$3+
                                                                 VLOOKUP(CONCATENATE('DGNB LCA Results'!$K$3,"_",Q378),$A$2:$P$352,12,FALSE)*'DGNB LCA Results'!$L$3,
IF('DGNB LCA Results'!$P$4=1,VLOOKUP(CONCATENATE('DGNB LCA Results'!$M$3,"_",Q378), $A$2:$P$352,12,FALSE)*'DGNB LCA Results'!$N$3,0))))</f>
        <v>0</v>
      </c>
      <c r="M378" s="121">
        <f>IF('DGNB LCA Results'!$P$4=4,VLOOKUP(CONCATENATE('DGNB LCA Results'!$M$3,"_",Q378), $A$2:$P$352,13,FALSE)*'DGNB LCA Results'!$N$3+
                                                                  VLOOKUP(CONCATENATE('DGNB LCA Results'!$K$3,"_",Q378), $A$2:$P$352,13,FALSE)*'DGNB LCA Results'!$L$3+
                                                                  VLOOKUP(CONCATENATE('DGNB LCA Results'!$I$3,"_",Q378), $A$2:$P$352,13,FALSE)*'DGNB LCA Results'!$J$3+
                                                                  VLOOKUP(CONCATENATE('DGNB LCA Results'!$G$3,"_",Q378), $A$2:$P$352,13,FALSE)*'DGNB LCA Results'!$H$3,
IF('DGNB LCA Results'!$P$4=3,VLOOKUP(CONCATENATE('DGNB LCA Results'!$M$3,"_",Q378), $A$2:$P$352,13,FALSE)*'DGNB LCA Results'!$N$3+
                                                                VLOOKUP(CONCATENATE('DGNB LCA Results'!$K$3,"_",Q378), $A$2:$P$352,13,FALSE)*'DGNB LCA Results'!$L$3+
                                                                VLOOKUP(CONCATENATE('DGNB LCA Results'!$I$3,"_",Q378),$A$2:$P$352,13,FALSE)*'DGNB LCA Results'!$J$3,
IF('DGNB LCA Results'!$P$4=2,VLOOKUP(CONCATENATE('DGNB LCA Results'!$M$3,"_",Q378), $A$2:$P$352,13,FALSE)*'DGNB LCA Results'!$N$3+
                                                                 VLOOKUP(CONCATENATE('DGNB LCA Results'!$K$3,"_",Q378),$A$2:$P$352,13,FALSE)*'DGNB LCA Results'!$L$3,
IF('DGNB LCA Results'!$P$4=1,VLOOKUP(CONCATENATE('DGNB LCA Results'!$M$3,"_",Q378), $A$2:$P$352,13,FALSE)*'DGNB LCA Results'!$N$3,0))))</f>
        <v>0</v>
      </c>
      <c r="N378" s="120">
        <f>IF('DGNB LCA Results'!$P$4=4,VLOOKUP(CONCATENATE('DGNB LCA Results'!$M$3,"_",Q378), $A$2:$P$352,14,FALSE)*'DGNB LCA Results'!$N$3+
                                                                  VLOOKUP(CONCATENATE('DGNB LCA Results'!$K$3,"_",Q378), $A$2:$P$352,14,FALSE)*'DGNB LCA Results'!$L$3+
                                                                  VLOOKUP(CONCATENATE('DGNB LCA Results'!$I$3,"_",Q378), $A$2:$P$352,14,FALSE)*'DGNB LCA Results'!$J$3+
                                                                  VLOOKUP(CONCATENATE('DGNB LCA Results'!$G$3,"_",Q378), $A$2:$P$352,14,FALSE)*'DGNB LCA Results'!$H$3,
IF('DGNB LCA Results'!$P$4=3,VLOOKUP(CONCATENATE('DGNB LCA Results'!$M$3,"_",Q378), $A$2:$P$352,14,FALSE)*'DGNB LCA Results'!$N$3+
                                                                VLOOKUP(CONCATENATE('DGNB LCA Results'!$K$3,"_",Q378), $A$2:$P$352,14,FALSE)*'DGNB LCA Results'!$L$3+
                                                                VLOOKUP(CONCATENATE('DGNB LCA Results'!$I$3,"_",Q378),$A$2:$P$352,14,FALSE)*'DGNB LCA Results'!$J$3,
IF('DGNB LCA Results'!$P$4=2,VLOOKUP(CONCATENATE('DGNB LCA Results'!$M$3,"_",Q378), $A$2:$P$352,14,FALSE)*'DGNB LCA Results'!$N$3+
                                                                 VLOOKUP(CONCATENATE('DGNB LCA Results'!$K$3,"_",Q378),$A$2:$P$352,14,FALSE)*'DGNB LCA Results'!$L$3,
IF('DGNB LCA Results'!$P$4=1,VLOOKUP(CONCATENATE('DGNB LCA Results'!$M$3,"_",Q378), $A$2:$P$352,14,FALSE)*'DGNB LCA Results'!$N$3,0))))</f>
        <v>0</v>
      </c>
      <c r="O378" s="47">
        <f>IF('DGNB LCA Results'!$P$4=4,VLOOKUP(CONCATENATE('DGNB LCA Results'!$M$3,"_",Q378), $A$2:$P$352,15,FALSE)*'DGNB LCA Results'!$N$3+
                                                                  VLOOKUP(CONCATENATE('DGNB LCA Results'!$K$3,"_",Q378), $A$2:$P$352,15,FALSE)*'DGNB LCA Results'!$L$3+
                                                                  VLOOKUP(CONCATENATE('DGNB LCA Results'!$I$3,"_",Q378), $A$2:$P$352,15,FALSE)*'DGNB LCA Results'!$J$3+
                                                                  VLOOKUP(CONCATENATE('DGNB LCA Results'!$G$3,"_",Q378), $A$2:$P$352,15,FALSE)*'DGNB LCA Results'!$H$3,
IF('DGNB LCA Results'!$P$4=3,VLOOKUP(CONCATENATE('DGNB LCA Results'!$M$3,"_",Q378), $A$2:$P$352,15,FALSE)*'DGNB LCA Results'!$N$3+
                                                                VLOOKUP(CONCATENATE('DGNB LCA Results'!$K$3,"_",Q378), $A$2:$P$352,15,FALSE)*'DGNB LCA Results'!$L$3+
                                                                VLOOKUP(CONCATENATE('DGNB LCA Results'!$I$3,"_",Q378),$A$2:$P$352,15,FALSE)*'DGNB LCA Results'!$J$3,
IF('DGNB LCA Results'!$P$4=2,VLOOKUP(CONCATENATE('DGNB LCA Results'!$M$3,"_",Q378), $A$2:$P$352,15,FALSE)*'DGNB LCA Results'!$N$3+
                                                                 VLOOKUP(CONCATENATE('DGNB LCA Results'!$K$3,"_",Q378),$A$2:$P$352,15,FALSE)*'DGNB LCA Results'!$L$3,
IF('DGNB LCA Results'!$P$4=1,VLOOKUP(CONCATENATE('DGNB LCA Results'!$M$3,"_",Q378), $A$2:$P$352,15,FALSE)*'DGNB LCA Results'!$N$3,0))))</f>
        <v>0</v>
      </c>
      <c r="P378" s="121">
        <f>IF('DGNB LCA Results'!$P$4=4,VLOOKUP(CONCATENATE('DGNB LCA Results'!$M$3,"_",Q378), $A$2:$P$352,16,FALSE)*'DGNB LCA Results'!$N$3+
                                                                  VLOOKUP(CONCATENATE('DGNB LCA Results'!$K$3,"_",Q378), $A$2:$P$352,16,FALSE)*'DGNB LCA Results'!$L$3+
                                                                  VLOOKUP(CONCATENATE('DGNB LCA Results'!$I$3,"_",Q378), $A$2:$P$352,16,FALSE)*'DGNB LCA Results'!$J$3+
                                                                  VLOOKUP(CONCATENATE('DGNB LCA Results'!$G$3,"_",Q378), $A$2:$P$352,16,FALSE)*'DGNB LCA Results'!$H$3,
IF('DGNB LCA Results'!$P$4=3,VLOOKUP(CONCATENATE('DGNB LCA Results'!$M$3,"_",Q378), $A$2:$P$352,16,FALSE)*'DGNB LCA Results'!$N$3+
                                                                VLOOKUP(CONCATENATE('DGNB LCA Results'!$K$3,"_",Q378), $A$2:$P$352,16,FALSE)*'DGNB LCA Results'!$L$3+
                                                                VLOOKUP(CONCATENATE('DGNB LCA Results'!$I$3,"_",Q378),$A$2:$P$352,16,FALSE)*'DGNB LCA Results'!$J$3,
IF('DGNB LCA Results'!$P$4=2,VLOOKUP(CONCATENATE('DGNB LCA Results'!$M$3,"_",Q378), $A$2:$P$352,16,FALSE)*'DGNB LCA Results'!$N$3+
                                                                 VLOOKUP(CONCATENATE('DGNB LCA Results'!$K$3,"_",Q378),$A$2:$P$352,16,FALSE)*'DGNB LCA Results'!$L$3,
IF('DGNB LCA Results'!$P$4=1,VLOOKUP(CONCATENATE('DGNB LCA Results'!$M$3,"_",Q378), $A$2:$P$352,16,FALSE)*'DGNB LCA Results'!$N$3,0))))</f>
        <v>0</v>
      </c>
      <c r="Q378">
        <v>20</v>
      </c>
      <c r="R378" t="s">
        <v>194</v>
      </c>
    </row>
    <row r="379" spans="1:18" x14ac:dyDescent="0.2">
      <c r="A379" t="str">
        <f t="shared" si="8"/>
        <v>MIX15_30</v>
      </c>
      <c r="B379" s="120">
        <f>IF('DGNB LCA Results'!$P$4=4,VLOOKUP(CONCATENATE('DGNB LCA Results'!$M$3,"_",Q379), $A$2:$P$352,2,FALSE)*'DGNB LCA Results'!$N$3+
                                                                  VLOOKUP(CONCATENATE('DGNB LCA Results'!$K$3,"_",Q379), $A$2:$P$352,2,FALSE)*'DGNB LCA Results'!$L$3+
                                                                  VLOOKUP(CONCATENATE('DGNB LCA Results'!$I$3,"_",Q379), $A$2:$P$352,2,FALSE)*'DGNB LCA Results'!$J$3+
                                                                  VLOOKUP(CONCATENATE('DGNB LCA Results'!$G$3,"_",Q379), $A$2:$P$352,2,FALSE)*'DGNB LCA Results'!$H$3,
IF('DGNB LCA Results'!$P$4=3,VLOOKUP(CONCATENATE('DGNB LCA Results'!$M$3,"_",Q379), $A$2:$P$352,2,FALSE)*'DGNB LCA Results'!$N$3+
                                                                VLOOKUP(CONCATENATE('DGNB LCA Results'!$K$3,"_",Q379), $A$2:$P$352,2,FALSE)*'DGNB LCA Results'!$L$3+
                                                                VLOOKUP(CONCATENATE('DGNB LCA Results'!$I$3,"_",Q379),$A$2:$P$352,2,FALSE)*'DGNB LCA Results'!$J$3,
IF('DGNB LCA Results'!$P$4=2,VLOOKUP(CONCATENATE('DGNB LCA Results'!$M$3,"_",Q379), $A$2:$P$352,2,FALSE)*'DGNB LCA Results'!$N$3+
                                                                 VLOOKUP(CONCATENATE('DGNB LCA Results'!$K$3,"_",Q379),$A$2:$P$352,2,FALSE)*'DGNB LCA Results'!$L$3,
IF('DGNB LCA Results'!$P$4=1,VLOOKUP(CONCATENATE('DGNB LCA Results'!$M$3,"_",Q379), $A$2:$P$352,2,FALSE)*'DGNB LCA Results'!$N$3,0))))</f>
        <v>0</v>
      </c>
      <c r="C379" s="49">
        <f>IF('DGNB LCA Results'!$P$4=4,VLOOKUP(CONCATENATE('DGNB LCA Results'!$M$3,"_",Q379), $A$2:$P$352,3,FALSE)*'DGNB LCA Results'!$N$3+
                                                                  VLOOKUP(CONCATENATE('DGNB LCA Results'!$K$3,"_",Q379), $A$2:$P$352,3,FALSE)*'DGNB LCA Results'!$L$3+
                                                                  VLOOKUP(CONCATENATE('DGNB LCA Results'!$I$3,"_",Q379), $A$2:$P$352,3,FALSE)*'DGNB LCA Results'!$J$3+
                                                                  VLOOKUP(CONCATENATE('DGNB LCA Results'!$G$3,"_",Q379), $A$2:$P$352,3,FALSE)*'DGNB LCA Results'!$H$3,
IF('DGNB LCA Results'!$P$4=3,VLOOKUP(CONCATENATE('DGNB LCA Results'!$M$3,"_",Q379), $A$2:$P$352,3,FALSE)*'DGNB LCA Results'!$N$3+
                                                                VLOOKUP(CONCATENATE('DGNB LCA Results'!$K$3,"_",Q379), $A$2:$P$352,3,FALSE)*'DGNB LCA Results'!$L$3+
                                                                VLOOKUP(CONCATENATE('DGNB LCA Results'!$I$3,"_",Q379),$A$2:$P$352,3,FALSE)*'DGNB LCA Results'!$J$3,
IF('DGNB LCA Results'!$P$4=2,VLOOKUP(CONCATENATE('DGNB LCA Results'!$M$3,"_",Q379), $A$2:$P$352,3,FALSE)*'DGNB LCA Results'!$N$3+
                                                                 VLOOKUP(CONCATENATE('DGNB LCA Results'!$K$3,"_",Q379),$A$2:$P$352,3,FALSE)*'DGNB LCA Results'!$L$3,
IF('DGNB LCA Results'!$P$4=1,VLOOKUP(CONCATENATE('DGNB LCA Results'!$M$3,"_",Q379), $A$2:$P$352,3,FALSE)*'DGNB LCA Results'!$N$3,0))))</f>
        <v>0</v>
      </c>
      <c r="D379" s="49">
        <f>IF('DGNB LCA Results'!$P$4=4,VLOOKUP(CONCATENATE('DGNB LCA Results'!$M$3,"_",Q379), $A$2:$P$352,4,FALSE)*'DGNB LCA Results'!$N$3+
                                                                  VLOOKUP(CONCATENATE('DGNB LCA Results'!$K$3,"_",Q379), $A$2:$P$352,4,FALSE)*'DGNB LCA Results'!$L$3+
                                                                  VLOOKUP(CONCATENATE('DGNB LCA Results'!$I$3,"_",Q379), $A$2:$P$352,4,FALSE)*'DGNB LCA Results'!$J$3+
                                                                  VLOOKUP(CONCATENATE('DGNB LCA Results'!$G$3,"_",Q379), $A$2:$P$352,4,FALSE)*'DGNB LCA Results'!$H$3,
IF('DGNB LCA Results'!$P$4=3,VLOOKUP(CONCATENATE('DGNB LCA Results'!$M$3,"_",Q379), $A$2:$P$352,4,FALSE)*'DGNB LCA Results'!$N$3+
                                                                VLOOKUP(CONCATENATE('DGNB LCA Results'!$K$3,"_",Q379), $A$2:$P$352,4,FALSE)*'DGNB LCA Results'!$L$3+
                                                                VLOOKUP(CONCATENATE('DGNB LCA Results'!$I$3,"_",Q379),$A$2:$P$352,4,FALSE)*'DGNB LCA Results'!$J$3,
IF('DGNB LCA Results'!$P$4=2,VLOOKUP(CONCATENATE('DGNB LCA Results'!$M$3,"_",Q379), $A$2:$P$352,4,FALSE)*'DGNB LCA Results'!$N$3+
                                                                 VLOOKUP(CONCATENATE('DGNB LCA Results'!$K$3,"_",Q379),$A$2:$P$352,4,FALSE)*'DGNB LCA Results'!$L$3,
IF('DGNB LCA Results'!$P$4=1,VLOOKUP(CONCATENATE('DGNB LCA Results'!$M$3,"_",Q379), $A$2:$P$352,4,FALSE)*'DGNB LCA Results'!$N$3,0))))</f>
        <v>0</v>
      </c>
      <c r="E379" s="120">
        <f>IF('DGNB LCA Results'!$P$4=4,VLOOKUP(CONCATENATE('DGNB LCA Results'!$M$3,"_",Q379), $A$2:$P$352,5,FALSE)*'DGNB LCA Results'!$N$3+
                                                                  VLOOKUP(CONCATENATE('DGNB LCA Results'!$K$3,"_",Q379), $A$2:$P$352,5,FALSE)*'DGNB LCA Results'!$L$3+
                                                                  VLOOKUP(CONCATENATE('DGNB LCA Results'!$I$3,"_",Q379), $A$2:$P$352,5,FALSE)*'DGNB LCA Results'!$J$3+
                                                                  VLOOKUP(CONCATENATE('DGNB LCA Results'!$G$3,"_",Q379), $A$2:$P$352,5,FALSE)*'DGNB LCA Results'!$H$3,
IF('DGNB LCA Results'!$P$4=3,VLOOKUP(CONCATENATE('DGNB LCA Results'!$M$3,"_",Q379), $A$2:$P$352,5,FALSE)*'DGNB LCA Results'!$N$3+
                                                                VLOOKUP(CONCATENATE('DGNB LCA Results'!$K$3,"_",Q379), $A$2:$P$352,5,FALSE)*'DGNB LCA Results'!$L$3+
                                                                VLOOKUP(CONCATENATE('DGNB LCA Results'!$I$3,"_",Q379),$A$2:$P$352,5,FALSE)*'DGNB LCA Results'!$J$3,
IF('DGNB LCA Results'!$P$4=2,VLOOKUP(CONCATENATE('DGNB LCA Results'!$M$3,"_",Q379), $A$2:$P$352,5,FALSE)*'DGNB LCA Results'!$N$3+
                                                                 VLOOKUP(CONCATENATE('DGNB LCA Results'!$K$3,"_",Q379),$A$2:$P$352,5,FALSE)*'DGNB LCA Results'!$L$3,
IF('DGNB LCA Results'!$P$4=1,VLOOKUP(CONCATENATE('DGNB LCA Results'!$M$3,"_",Q379), $A$2:$P$352,5,FALSE)*'DGNB LCA Results'!$N$3,0))))</f>
        <v>0</v>
      </c>
      <c r="F379" s="47">
        <f>IF('DGNB LCA Results'!$P$4=4,VLOOKUP(CONCATENATE('DGNB LCA Results'!$M$3,"_",Q379), $A$2:$P$352,6,FALSE)*'DGNB LCA Results'!$N$3+
                                                                  VLOOKUP(CONCATENATE('DGNB LCA Results'!$K$3,"_",Q379), $A$2:$P$352,6,FALSE)*'DGNB LCA Results'!$L$3+
                                                                  VLOOKUP(CONCATENATE('DGNB LCA Results'!$I$3,"_",Q379), $A$2:$P$352,6,FALSE)*'DGNB LCA Results'!$J$3+
                                                                  VLOOKUP(CONCATENATE('DGNB LCA Results'!$G$3,"_",Q379), $A$2:$P$352,6,FALSE)*'DGNB LCA Results'!$H$3,
IF('DGNB LCA Results'!$P$4=3,VLOOKUP(CONCATENATE('DGNB LCA Results'!$M$3,"_",Q379), $A$2:$P$352,6,FALSE)*'DGNB LCA Results'!$N$3+
                                                                VLOOKUP(CONCATENATE('DGNB LCA Results'!$K$3,"_",Q379), $A$2:$P$352,6,FALSE)*'DGNB LCA Results'!$L$3+
                                                                VLOOKUP(CONCATENATE('DGNB LCA Results'!$I$3,"_",Q379),$A$2:$P$352,6,FALSE)*'DGNB LCA Results'!$J$3,
IF('DGNB LCA Results'!$P$4=2,VLOOKUP(CONCATENATE('DGNB LCA Results'!$M$3,"_",Q379), $A$2:$P$352,6,FALSE)*'DGNB LCA Results'!$N$3+
                                                                 VLOOKUP(CONCATENATE('DGNB LCA Results'!$K$3,"_",Q379),$A$2:$P$352,6,FALSE)*'DGNB LCA Results'!$L$3,
IF('DGNB LCA Results'!$P$4=1,VLOOKUP(CONCATENATE('DGNB LCA Results'!$M$3,"_",Q379), $A$2:$P$352,6,FALSE)*'DGNB LCA Results'!$N$3,0))))</f>
        <v>0</v>
      </c>
      <c r="G379" s="121">
        <f>IF('DGNB LCA Results'!$P$4=4,VLOOKUP(CONCATENATE('DGNB LCA Results'!$M$3,"_",Q379), $A$2:$P$352,7,FALSE)*'DGNB LCA Results'!$N$3+
                                                                  VLOOKUP(CONCATENATE('DGNB LCA Results'!$K$3,"_",Q379), $A$2:$P$352,7,FALSE)*'DGNB LCA Results'!$L$3+
                                                                  VLOOKUP(CONCATENATE('DGNB LCA Results'!$I$3,"_",Q379), $A$2:$P$352,7,FALSE)*'DGNB LCA Results'!$J$3+
                                                                  VLOOKUP(CONCATENATE('DGNB LCA Results'!$G$3,"_",Q379), $A$2:$P$352,7,FALSE)*'DGNB LCA Results'!$H$3,
IF('DGNB LCA Results'!$P$4=3,VLOOKUP(CONCATENATE('DGNB LCA Results'!$M$3,"_",Q379), $A$2:$P$352,7,FALSE)*'DGNB LCA Results'!$N$3+
                                                                VLOOKUP(CONCATENATE('DGNB LCA Results'!$K$3,"_",Q379), $A$2:$P$352,7,FALSE)*'DGNB LCA Results'!$L$3+
                                                                VLOOKUP(CONCATENATE('DGNB LCA Results'!$I$3,"_",Q379),$A$2:$P$352,7,FALSE)*'DGNB LCA Results'!$J$3,
IF('DGNB LCA Results'!$P$4=2,VLOOKUP(CONCATENATE('DGNB LCA Results'!$M$3,"_",Q379), $A$2:$P$352,7,FALSE)*'DGNB LCA Results'!$N$3+
                                                                 VLOOKUP(CONCATENATE('DGNB LCA Results'!$K$3,"_",Q379),$A$2:$P$352,7,FALSE)*'DGNB LCA Results'!$L$3,
IF('DGNB LCA Results'!$P$4=1,VLOOKUP(CONCATENATE('DGNB LCA Results'!$M$3,"_",Q379), $A$2:$P$352,7,FALSE)*'DGNB LCA Results'!$N$3,0))))</f>
        <v>0</v>
      </c>
      <c r="H379" s="120">
        <f>IF('DGNB LCA Results'!$P$4=4,VLOOKUP(CONCATENATE('DGNB LCA Results'!$M$3,"_",Q379), $A$2:$P$352,8,FALSE)*'DGNB LCA Results'!$N$3+
                                                                  VLOOKUP(CONCATENATE('DGNB LCA Results'!$K$3,"_",Q379), $A$2:$P$352,8,FALSE)*'DGNB LCA Results'!$L$3+
                                                                  VLOOKUP(CONCATENATE('DGNB LCA Results'!$I$3,"_",Q379), $A$2:$P$352,8,FALSE)*'DGNB LCA Results'!$J$3+
                                                                  VLOOKUP(CONCATENATE('DGNB LCA Results'!$G$3,"_",Q379), $A$2:$P$352,8,FALSE)*'DGNB LCA Results'!$H$3,
IF('DGNB LCA Results'!$P$4=3,VLOOKUP(CONCATENATE('DGNB LCA Results'!$M$3,"_",Q379), $A$2:$P$352,8,FALSE)*'DGNB LCA Results'!$N$3+
                                                                VLOOKUP(CONCATENATE('DGNB LCA Results'!$K$3,"_",Q379), $A$2:$P$352,8,FALSE)*'DGNB LCA Results'!$L$3+
                                                                VLOOKUP(CONCATENATE('DGNB LCA Results'!$I$3,"_",Q379),$A$2:$P$352,8,FALSE)*'DGNB LCA Results'!$J$3,
IF('DGNB LCA Results'!$P$4=2,VLOOKUP(CONCATENATE('DGNB LCA Results'!$M$3,"_",Q379), $A$2:$P$352,8,FALSE)*'DGNB LCA Results'!$N$3+
                                                                 VLOOKUP(CONCATENATE('DGNB LCA Results'!$K$3,"_",Q379),$A$2:$P$352,8,FALSE)*'DGNB LCA Results'!$L$3,
IF('DGNB LCA Results'!$P$4=1,VLOOKUP(CONCATENATE('DGNB LCA Results'!$M$3,"_",Q379), $A$2:$P$352,8,FALSE)*'DGNB LCA Results'!$N$3,0))))</f>
        <v>0</v>
      </c>
      <c r="I379" s="47">
        <f>IF('DGNB LCA Results'!$P$4=4,VLOOKUP(CONCATENATE('DGNB LCA Results'!$M$3,"_",Q379), $A$2:$P$352,9,FALSE)*'DGNB LCA Results'!$N$3+
                                                                  VLOOKUP(CONCATENATE('DGNB LCA Results'!$K$3,"_",Q379), $A$2:$P$352,9,FALSE)*'DGNB LCA Results'!$L$3+
                                                                  VLOOKUP(CONCATENATE('DGNB LCA Results'!$I$3,"_",Q379), $A$2:$P$352,9,FALSE)*'DGNB LCA Results'!$J$3+
                                                                  VLOOKUP(CONCATENATE('DGNB LCA Results'!$G$3,"_",Q379), $A$2:$P$352,9,FALSE)*'DGNB LCA Results'!$H$3,
IF('DGNB LCA Results'!$P$4=3,VLOOKUP(CONCATENATE('DGNB LCA Results'!$M$3,"_",Q379), $A$2:$P$352,9,FALSE)*'DGNB LCA Results'!$N$3+
                                                                VLOOKUP(CONCATENATE('DGNB LCA Results'!$K$3,"_",Q379), $A$2:$P$352,9,FALSE)*'DGNB LCA Results'!$L$3+
                                                                VLOOKUP(CONCATENATE('DGNB LCA Results'!$I$3,"_",Q379),$A$2:$P$352,9,FALSE)*'DGNB LCA Results'!$J$3,
IF('DGNB LCA Results'!$P$4=2,VLOOKUP(CONCATENATE('DGNB LCA Results'!$M$3,"_",Q379), $A$2:$P$352,9,FALSE)*'DGNB LCA Results'!$N$3+
                                                                 VLOOKUP(CONCATENATE('DGNB LCA Results'!$K$3,"_",Q379),$A$2:$P$352,9,FALSE)*'DGNB LCA Results'!$L$3,
IF('DGNB LCA Results'!$P$4=1,VLOOKUP(CONCATENATE('DGNB LCA Results'!$M$3,"_",Q379), $A$2:$P$352,9,FALSE)*'DGNB LCA Results'!$N$3,0))))</f>
        <v>0</v>
      </c>
      <c r="J379" s="121">
        <f>IF('DGNB LCA Results'!$P$4=4,VLOOKUP(CONCATENATE('DGNB LCA Results'!$M$3,"_",Q379), $A$2:$P$352,10,FALSE)*'DGNB LCA Results'!$N$3+
                                                                  VLOOKUP(CONCATENATE('DGNB LCA Results'!$K$3,"_",Q379), $A$2:$P$352,10,FALSE)*'DGNB LCA Results'!$L$3+
                                                                  VLOOKUP(CONCATENATE('DGNB LCA Results'!$I$3,"_",Q379), $A$2:$P$352,10,FALSE)*'DGNB LCA Results'!$J$3+
                                                                  VLOOKUP(CONCATENATE('DGNB LCA Results'!$G$3,"_",Q379), $A$2:$P$352,10,FALSE)*'DGNB LCA Results'!$H$3,
IF('DGNB LCA Results'!$P$4=3,VLOOKUP(CONCATENATE('DGNB LCA Results'!$M$3,"_",Q379), $A$2:$P$352,10,FALSE)*'DGNB LCA Results'!$N$3+
                                                                VLOOKUP(CONCATENATE('DGNB LCA Results'!$K$3,"_",Q379), $A$2:$P$352,10,FALSE)*'DGNB LCA Results'!$L$3+
                                                                VLOOKUP(CONCATENATE('DGNB LCA Results'!$I$3,"_",Q379),$A$2:$P$352,10,FALSE)*'DGNB LCA Results'!$J$3,
IF('DGNB LCA Results'!$P$4=2,VLOOKUP(CONCATENATE('DGNB LCA Results'!$M$3,"_",Q379), $A$2:$P$352,10,FALSE)*'DGNB LCA Results'!$N$3+
                                                                 VLOOKUP(CONCATENATE('DGNB LCA Results'!$K$3,"_",Q379),$A$2:$P$352,10,FALSE)*'DGNB LCA Results'!$L$3,
IF('DGNB LCA Results'!$P$4=1,VLOOKUP(CONCATENATE('DGNB LCA Results'!$M$3,"_",Q379), $A$2:$P$352,10,FALSE)*'DGNB LCA Results'!$N$3,0))))</f>
        <v>0</v>
      </c>
      <c r="K379" s="120">
        <f>IF('DGNB LCA Results'!$P$4=4,VLOOKUP(CONCATENATE('DGNB LCA Results'!$M$3,"_",Q379), $A$2:$P$352,11,FALSE)*'DGNB LCA Results'!$N$3+
                                                                  VLOOKUP(CONCATENATE('DGNB LCA Results'!$K$3,"_",Q379), $A$2:$P$352,11,FALSE)*'DGNB LCA Results'!$L$3+
                                                                  VLOOKUP(CONCATENATE('DGNB LCA Results'!$I$3,"_",Q379), $A$2:$P$352,11,FALSE)*'DGNB LCA Results'!$J$3+
                                                                  VLOOKUP(CONCATENATE('DGNB LCA Results'!$G$3,"_",Q379), $A$2:$P$352,11,FALSE)*'DGNB LCA Results'!$H$3,
IF('DGNB LCA Results'!$P$4=3,VLOOKUP(CONCATENATE('DGNB LCA Results'!$M$3,"_",Q379), $A$2:$P$352,11,FALSE)*'DGNB LCA Results'!$N$3+
                                                                VLOOKUP(CONCATENATE('DGNB LCA Results'!$K$3,"_",Q379), $A$2:$P$352,11,FALSE)*'DGNB LCA Results'!$L$3+
                                                                VLOOKUP(CONCATENATE('DGNB LCA Results'!$I$3,"_",Q379),$A$2:$P$352,11,FALSE)*'DGNB LCA Results'!$J$3,
IF('DGNB LCA Results'!$P$4=2,VLOOKUP(CONCATENATE('DGNB LCA Results'!$M$3,"_",Q379), $A$2:$P$352,11,FALSE)*'DGNB LCA Results'!$N$3+
                                                                 VLOOKUP(CONCATENATE('DGNB LCA Results'!$K$3,"_",Q379),$A$2:$P$352,11,FALSE)*'DGNB LCA Results'!$L$3,
IF('DGNB LCA Results'!$P$4=1,VLOOKUP(CONCATENATE('DGNB LCA Results'!$M$3,"_",Q379), $A$2:$P$352,11,FALSE)*'DGNB LCA Results'!$N$3,0))))</f>
        <v>0</v>
      </c>
      <c r="L379" s="47">
        <f>IF('DGNB LCA Results'!$P$4=4,VLOOKUP(CONCATENATE('DGNB LCA Results'!$M$3,"_",Q379), $A$2:$P$352,12,FALSE)*'DGNB LCA Results'!$N$3+
                                                                  VLOOKUP(CONCATENATE('DGNB LCA Results'!$K$3,"_",Q379), $A$2:$P$352,12,FALSE)*'DGNB LCA Results'!$L$3+
                                                                  VLOOKUP(CONCATENATE('DGNB LCA Results'!$I$3,"_",Q379), $A$2:$P$352,12,FALSE)*'DGNB LCA Results'!$J$3+
                                                                  VLOOKUP(CONCATENATE('DGNB LCA Results'!$G$3,"_",Q379), $A$2:$P$352,12,FALSE)*'DGNB LCA Results'!$H$3,
IF('DGNB LCA Results'!$P$4=3,VLOOKUP(CONCATENATE('DGNB LCA Results'!$M$3,"_",Q379), $A$2:$P$352,12,FALSE)*'DGNB LCA Results'!$N$3+
                                                                VLOOKUP(CONCATENATE('DGNB LCA Results'!$K$3,"_",Q379), $A$2:$P$352,12,FALSE)*'DGNB LCA Results'!$L$3+
                                                                VLOOKUP(CONCATENATE('DGNB LCA Results'!$I$3,"_",Q379),$A$2:$P$352,12,FALSE)*'DGNB LCA Results'!$J$3,
IF('DGNB LCA Results'!$P$4=2,VLOOKUP(CONCATENATE('DGNB LCA Results'!$M$3,"_",Q379), $A$2:$P$352,12,FALSE)*'DGNB LCA Results'!$N$3+
                                                                 VLOOKUP(CONCATENATE('DGNB LCA Results'!$K$3,"_",Q379),$A$2:$P$352,12,FALSE)*'DGNB LCA Results'!$L$3,
IF('DGNB LCA Results'!$P$4=1,VLOOKUP(CONCATENATE('DGNB LCA Results'!$M$3,"_",Q379), $A$2:$P$352,12,FALSE)*'DGNB LCA Results'!$N$3,0))))</f>
        <v>0</v>
      </c>
      <c r="M379" s="121">
        <f>IF('DGNB LCA Results'!$P$4=4,VLOOKUP(CONCATENATE('DGNB LCA Results'!$M$3,"_",Q379), $A$2:$P$352,13,FALSE)*'DGNB LCA Results'!$N$3+
                                                                  VLOOKUP(CONCATENATE('DGNB LCA Results'!$K$3,"_",Q379), $A$2:$P$352,13,FALSE)*'DGNB LCA Results'!$L$3+
                                                                  VLOOKUP(CONCATENATE('DGNB LCA Results'!$I$3,"_",Q379), $A$2:$P$352,13,FALSE)*'DGNB LCA Results'!$J$3+
                                                                  VLOOKUP(CONCATENATE('DGNB LCA Results'!$G$3,"_",Q379), $A$2:$P$352,13,FALSE)*'DGNB LCA Results'!$H$3,
IF('DGNB LCA Results'!$P$4=3,VLOOKUP(CONCATENATE('DGNB LCA Results'!$M$3,"_",Q379), $A$2:$P$352,13,FALSE)*'DGNB LCA Results'!$N$3+
                                                                VLOOKUP(CONCATENATE('DGNB LCA Results'!$K$3,"_",Q379), $A$2:$P$352,13,FALSE)*'DGNB LCA Results'!$L$3+
                                                                VLOOKUP(CONCATENATE('DGNB LCA Results'!$I$3,"_",Q379),$A$2:$P$352,13,FALSE)*'DGNB LCA Results'!$J$3,
IF('DGNB LCA Results'!$P$4=2,VLOOKUP(CONCATENATE('DGNB LCA Results'!$M$3,"_",Q379), $A$2:$P$352,13,FALSE)*'DGNB LCA Results'!$N$3+
                                                                 VLOOKUP(CONCATENATE('DGNB LCA Results'!$K$3,"_",Q379),$A$2:$P$352,13,FALSE)*'DGNB LCA Results'!$L$3,
IF('DGNB LCA Results'!$P$4=1,VLOOKUP(CONCATENATE('DGNB LCA Results'!$M$3,"_",Q379), $A$2:$P$352,13,FALSE)*'DGNB LCA Results'!$N$3,0))))</f>
        <v>0</v>
      </c>
      <c r="N379" s="120">
        <f>IF('DGNB LCA Results'!$P$4=4,VLOOKUP(CONCATENATE('DGNB LCA Results'!$M$3,"_",Q379), $A$2:$P$352,14,FALSE)*'DGNB LCA Results'!$N$3+
                                                                  VLOOKUP(CONCATENATE('DGNB LCA Results'!$K$3,"_",Q379), $A$2:$P$352,14,FALSE)*'DGNB LCA Results'!$L$3+
                                                                  VLOOKUP(CONCATENATE('DGNB LCA Results'!$I$3,"_",Q379), $A$2:$P$352,14,FALSE)*'DGNB LCA Results'!$J$3+
                                                                  VLOOKUP(CONCATENATE('DGNB LCA Results'!$G$3,"_",Q379), $A$2:$P$352,14,FALSE)*'DGNB LCA Results'!$H$3,
IF('DGNB LCA Results'!$P$4=3,VLOOKUP(CONCATENATE('DGNB LCA Results'!$M$3,"_",Q379), $A$2:$P$352,14,FALSE)*'DGNB LCA Results'!$N$3+
                                                                VLOOKUP(CONCATENATE('DGNB LCA Results'!$K$3,"_",Q379), $A$2:$P$352,14,FALSE)*'DGNB LCA Results'!$L$3+
                                                                VLOOKUP(CONCATENATE('DGNB LCA Results'!$I$3,"_",Q379),$A$2:$P$352,14,FALSE)*'DGNB LCA Results'!$J$3,
IF('DGNB LCA Results'!$P$4=2,VLOOKUP(CONCATENATE('DGNB LCA Results'!$M$3,"_",Q379), $A$2:$P$352,14,FALSE)*'DGNB LCA Results'!$N$3+
                                                                 VLOOKUP(CONCATENATE('DGNB LCA Results'!$K$3,"_",Q379),$A$2:$P$352,14,FALSE)*'DGNB LCA Results'!$L$3,
IF('DGNB LCA Results'!$P$4=1,VLOOKUP(CONCATENATE('DGNB LCA Results'!$M$3,"_",Q379), $A$2:$P$352,14,FALSE)*'DGNB LCA Results'!$N$3,0))))</f>
        <v>0</v>
      </c>
      <c r="O379" s="47">
        <f>IF('DGNB LCA Results'!$P$4=4,VLOOKUP(CONCATENATE('DGNB LCA Results'!$M$3,"_",Q379), $A$2:$P$352,15,FALSE)*'DGNB LCA Results'!$N$3+
                                                                  VLOOKUP(CONCATENATE('DGNB LCA Results'!$K$3,"_",Q379), $A$2:$P$352,15,FALSE)*'DGNB LCA Results'!$L$3+
                                                                  VLOOKUP(CONCATENATE('DGNB LCA Results'!$I$3,"_",Q379), $A$2:$P$352,15,FALSE)*'DGNB LCA Results'!$J$3+
                                                                  VLOOKUP(CONCATENATE('DGNB LCA Results'!$G$3,"_",Q379), $A$2:$P$352,15,FALSE)*'DGNB LCA Results'!$H$3,
IF('DGNB LCA Results'!$P$4=3,VLOOKUP(CONCATENATE('DGNB LCA Results'!$M$3,"_",Q379), $A$2:$P$352,15,FALSE)*'DGNB LCA Results'!$N$3+
                                                                VLOOKUP(CONCATENATE('DGNB LCA Results'!$K$3,"_",Q379), $A$2:$P$352,15,FALSE)*'DGNB LCA Results'!$L$3+
                                                                VLOOKUP(CONCATENATE('DGNB LCA Results'!$I$3,"_",Q379),$A$2:$P$352,15,FALSE)*'DGNB LCA Results'!$J$3,
IF('DGNB LCA Results'!$P$4=2,VLOOKUP(CONCATENATE('DGNB LCA Results'!$M$3,"_",Q379), $A$2:$P$352,15,FALSE)*'DGNB LCA Results'!$N$3+
                                                                 VLOOKUP(CONCATENATE('DGNB LCA Results'!$K$3,"_",Q379),$A$2:$P$352,15,FALSE)*'DGNB LCA Results'!$L$3,
IF('DGNB LCA Results'!$P$4=1,VLOOKUP(CONCATENATE('DGNB LCA Results'!$M$3,"_",Q379), $A$2:$P$352,15,FALSE)*'DGNB LCA Results'!$N$3,0))))</f>
        <v>0</v>
      </c>
      <c r="P379" s="121">
        <f>IF('DGNB LCA Results'!$P$4=4,VLOOKUP(CONCATENATE('DGNB LCA Results'!$M$3,"_",Q379), $A$2:$P$352,16,FALSE)*'DGNB LCA Results'!$N$3+
                                                                  VLOOKUP(CONCATENATE('DGNB LCA Results'!$K$3,"_",Q379), $A$2:$P$352,16,FALSE)*'DGNB LCA Results'!$L$3+
                                                                  VLOOKUP(CONCATENATE('DGNB LCA Results'!$I$3,"_",Q379), $A$2:$P$352,16,FALSE)*'DGNB LCA Results'!$J$3+
                                                                  VLOOKUP(CONCATENATE('DGNB LCA Results'!$G$3,"_",Q379), $A$2:$P$352,16,FALSE)*'DGNB LCA Results'!$H$3,
IF('DGNB LCA Results'!$P$4=3,VLOOKUP(CONCATENATE('DGNB LCA Results'!$M$3,"_",Q379), $A$2:$P$352,16,FALSE)*'DGNB LCA Results'!$N$3+
                                                                VLOOKUP(CONCATENATE('DGNB LCA Results'!$K$3,"_",Q379), $A$2:$P$352,16,FALSE)*'DGNB LCA Results'!$L$3+
                                                                VLOOKUP(CONCATENATE('DGNB LCA Results'!$I$3,"_",Q379),$A$2:$P$352,16,FALSE)*'DGNB LCA Results'!$J$3,
IF('DGNB LCA Results'!$P$4=2,VLOOKUP(CONCATENATE('DGNB LCA Results'!$M$3,"_",Q379), $A$2:$P$352,16,FALSE)*'DGNB LCA Results'!$N$3+
                                                                 VLOOKUP(CONCATENATE('DGNB LCA Results'!$K$3,"_",Q379),$A$2:$P$352,16,FALSE)*'DGNB LCA Results'!$L$3,
IF('DGNB LCA Results'!$P$4=1,VLOOKUP(CONCATENATE('DGNB LCA Results'!$M$3,"_",Q379), $A$2:$P$352,16,FALSE)*'DGNB LCA Results'!$N$3,0))))</f>
        <v>0</v>
      </c>
      <c r="Q379">
        <v>30</v>
      </c>
      <c r="R379" t="s">
        <v>194</v>
      </c>
    </row>
    <row r="380" spans="1:18" x14ac:dyDescent="0.2">
      <c r="A380" t="str">
        <f t="shared" si="8"/>
        <v>MIX15_40</v>
      </c>
      <c r="B380" s="120">
        <f>IF('DGNB LCA Results'!$P$4=4,VLOOKUP(CONCATENATE('DGNB LCA Results'!$M$3,"_",Q380), $A$2:$P$352,2,FALSE)*'DGNB LCA Results'!$N$3+
                                                                  VLOOKUP(CONCATENATE('DGNB LCA Results'!$K$3,"_",Q380), $A$2:$P$352,2,FALSE)*'DGNB LCA Results'!$L$3+
                                                                  VLOOKUP(CONCATENATE('DGNB LCA Results'!$I$3,"_",Q380), $A$2:$P$352,2,FALSE)*'DGNB LCA Results'!$J$3+
                                                                  VLOOKUP(CONCATENATE('DGNB LCA Results'!$G$3,"_",Q380), $A$2:$P$352,2,FALSE)*'DGNB LCA Results'!$H$3,
IF('DGNB LCA Results'!$P$4=3,VLOOKUP(CONCATENATE('DGNB LCA Results'!$M$3,"_",Q380), $A$2:$P$352,2,FALSE)*'DGNB LCA Results'!$N$3+
                                                                VLOOKUP(CONCATENATE('DGNB LCA Results'!$K$3,"_",Q380), $A$2:$P$352,2,FALSE)*'DGNB LCA Results'!$L$3+
                                                                VLOOKUP(CONCATENATE('DGNB LCA Results'!$I$3,"_",Q380),$A$2:$P$352,2,FALSE)*'DGNB LCA Results'!$J$3,
IF('DGNB LCA Results'!$P$4=2,VLOOKUP(CONCATENATE('DGNB LCA Results'!$M$3,"_",Q380), $A$2:$P$352,2,FALSE)*'DGNB LCA Results'!$N$3+
                                                                 VLOOKUP(CONCATENATE('DGNB LCA Results'!$K$3,"_",Q380),$A$2:$P$352,2,FALSE)*'DGNB LCA Results'!$L$3,
IF('DGNB LCA Results'!$P$4=1,VLOOKUP(CONCATENATE('DGNB LCA Results'!$M$3,"_",Q380), $A$2:$P$352,2,FALSE)*'DGNB LCA Results'!$N$3,0))))</f>
        <v>0</v>
      </c>
      <c r="C380" s="49">
        <f>IF('DGNB LCA Results'!$P$4=4,VLOOKUP(CONCATENATE('DGNB LCA Results'!$M$3,"_",Q380), $A$2:$P$352,3,FALSE)*'DGNB LCA Results'!$N$3+
                                                                  VLOOKUP(CONCATENATE('DGNB LCA Results'!$K$3,"_",Q380), $A$2:$P$352,3,FALSE)*'DGNB LCA Results'!$L$3+
                                                                  VLOOKUP(CONCATENATE('DGNB LCA Results'!$I$3,"_",Q380), $A$2:$P$352,3,FALSE)*'DGNB LCA Results'!$J$3+
                                                                  VLOOKUP(CONCATENATE('DGNB LCA Results'!$G$3,"_",Q380), $A$2:$P$352,3,FALSE)*'DGNB LCA Results'!$H$3,
IF('DGNB LCA Results'!$P$4=3,VLOOKUP(CONCATENATE('DGNB LCA Results'!$M$3,"_",Q380), $A$2:$P$352,3,FALSE)*'DGNB LCA Results'!$N$3+
                                                                VLOOKUP(CONCATENATE('DGNB LCA Results'!$K$3,"_",Q380), $A$2:$P$352,3,FALSE)*'DGNB LCA Results'!$L$3+
                                                                VLOOKUP(CONCATENATE('DGNB LCA Results'!$I$3,"_",Q380),$A$2:$P$352,3,FALSE)*'DGNB LCA Results'!$J$3,
IF('DGNB LCA Results'!$P$4=2,VLOOKUP(CONCATENATE('DGNB LCA Results'!$M$3,"_",Q380), $A$2:$P$352,3,FALSE)*'DGNB LCA Results'!$N$3+
                                                                 VLOOKUP(CONCATENATE('DGNB LCA Results'!$K$3,"_",Q380),$A$2:$P$352,3,FALSE)*'DGNB LCA Results'!$L$3,
IF('DGNB LCA Results'!$P$4=1,VLOOKUP(CONCATENATE('DGNB LCA Results'!$M$3,"_",Q380), $A$2:$P$352,3,FALSE)*'DGNB LCA Results'!$N$3,0))))</f>
        <v>0</v>
      </c>
      <c r="D380" s="49">
        <f>IF('DGNB LCA Results'!$P$4=4,VLOOKUP(CONCATENATE('DGNB LCA Results'!$M$3,"_",Q380), $A$2:$P$352,4,FALSE)*'DGNB LCA Results'!$N$3+
                                                                  VLOOKUP(CONCATENATE('DGNB LCA Results'!$K$3,"_",Q380), $A$2:$P$352,4,FALSE)*'DGNB LCA Results'!$L$3+
                                                                  VLOOKUP(CONCATENATE('DGNB LCA Results'!$I$3,"_",Q380), $A$2:$P$352,4,FALSE)*'DGNB LCA Results'!$J$3+
                                                                  VLOOKUP(CONCATENATE('DGNB LCA Results'!$G$3,"_",Q380), $A$2:$P$352,4,FALSE)*'DGNB LCA Results'!$H$3,
IF('DGNB LCA Results'!$P$4=3,VLOOKUP(CONCATENATE('DGNB LCA Results'!$M$3,"_",Q380), $A$2:$P$352,4,FALSE)*'DGNB LCA Results'!$N$3+
                                                                VLOOKUP(CONCATENATE('DGNB LCA Results'!$K$3,"_",Q380), $A$2:$P$352,4,FALSE)*'DGNB LCA Results'!$L$3+
                                                                VLOOKUP(CONCATENATE('DGNB LCA Results'!$I$3,"_",Q380),$A$2:$P$352,4,FALSE)*'DGNB LCA Results'!$J$3,
IF('DGNB LCA Results'!$P$4=2,VLOOKUP(CONCATENATE('DGNB LCA Results'!$M$3,"_",Q380), $A$2:$P$352,4,FALSE)*'DGNB LCA Results'!$N$3+
                                                                 VLOOKUP(CONCATENATE('DGNB LCA Results'!$K$3,"_",Q380),$A$2:$P$352,4,FALSE)*'DGNB LCA Results'!$L$3,
IF('DGNB LCA Results'!$P$4=1,VLOOKUP(CONCATENATE('DGNB LCA Results'!$M$3,"_",Q380), $A$2:$P$352,4,FALSE)*'DGNB LCA Results'!$N$3,0))))</f>
        <v>0</v>
      </c>
      <c r="E380" s="120">
        <f>IF('DGNB LCA Results'!$P$4=4,VLOOKUP(CONCATENATE('DGNB LCA Results'!$M$3,"_",Q380), $A$2:$P$352,5,FALSE)*'DGNB LCA Results'!$N$3+
                                                                  VLOOKUP(CONCATENATE('DGNB LCA Results'!$K$3,"_",Q380), $A$2:$P$352,5,FALSE)*'DGNB LCA Results'!$L$3+
                                                                  VLOOKUP(CONCATENATE('DGNB LCA Results'!$I$3,"_",Q380), $A$2:$P$352,5,FALSE)*'DGNB LCA Results'!$J$3+
                                                                  VLOOKUP(CONCATENATE('DGNB LCA Results'!$G$3,"_",Q380), $A$2:$P$352,5,FALSE)*'DGNB LCA Results'!$H$3,
IF('DGNB LCA Results'!$P$4=3,VLOOKUP(CONCATENATE('DGNB LCA Results'!$M$3,"_",Q380), $A$2:$P$352,5,FALSE)*'DGNB LCA Results'!$N$3+
                                                                VLOOKUP(CONCATENATE('DGNB LCA Results'!$K$3,"_",Q380), $A$2:$P$352,5,FALSE)*'DGNB LCA Results'!$L$3+
                                                                VLOOKUP(CONCATENATE('DGNB LCA Results'!$I$3,"_",Q380),$A$2:$P$352,5,FALSE)*'DGNB LCA Results'!$J$3,
IF('DGNB LCA Results'!$P$4=2,VLOOKUP(CONCATENATE('DGNB LCA Results'!$M$3,"_",Q380), $A$2:$P$352,5,FALSE)*'DGNB LCA Results'!$N$3+
                                                                 VLOOKUP(CONCATENATE('DGNB LCA Results'!$K$3,"_",Q380),$A$2:$P$352,5,FALSE)*'DGNB LCA Results'!$L$3,
IF('DGNB LCA Results'!$P$4=1,VLOOKUP(CONCATENATE('DGNB LCA Results'!$M$3,"_",Q380), $A$2:$P$352,5,FALSE)*'DGNB LCA Results'!$N$3,0))))</f>
        <v>0</v>
      </c>
      <c r="F380" s="47">
        <f>IF('DGNB LCA Results'!$P$4=4,VLOOKUP(CONCATENATE('DGNB LCA Results'!$M$3,"_",Q380), $A$2:$P$352,6,FALSE)*'DGNB LCA Results'!$N$3+
                                                                  VLOOKUP(CONCATENATE('DGNB LCA Results'!$K$3,"_",Q380), $A$2:$P$352,6,FALSE)*'DGNB LCA Results'!$L$3+
                                                                  VLOOKUP(CONCATENATE('DGNB LCA Results'!$I$3,"_",Q380), $A$2:$P$352,6,FALSE)*'DGNB LCA Results'!$J$3+
                                                                  VLOOKUP(CONCATENATE('DGNB LCA Results'!$G$3,"_",Q380), $A$2:$P$352,6,FALSE)*'DGNB LCA Results'!$H$3,
IF('DGNB LCA Results'!$P$4=3,VLOOKUP(CONCATENATE('DGNB LCA Results'!$M$3,"_",Q380), $A$2:$P$352,6,FALSE)*'DGNB LCA Results'!$N$3+
                                                                VLOOKUP(CONCATENATE('DGNB LCA Results'!$K$3,"_",Q380), $A$2:$P$352,6,FALSE)*'DGNB LCA Results'!$L$3+
                                                                VLOOKUP(CONCATENATE('DGNB LCA Results'!$I$3,"_",Q380),$A$2:$P$352,6,FALSE)*'DGNB LCA Results'!$J$3,
IF('DGNB LCA Results'!$P$4=2,VLOOKUP(CONCATENATE('DGNB LCA Results'!$M$3,"_",Q380), $A$2:$P$352,6,FALSE)*'DGNB LCA Results'!$N$3+
                                                                 VLOOKUP(CONCATENATE('DGNB LCA Results'!$K$3,"_",Q380),$A$2:$P$352,6,FALSE)*'DGNB LCA Results'!$L$3,
IF('DGNB LCA Results'!$P$4=1,VLOOKUP(CONCATENATE('DGNB LCA Results'!$M$3,"_",Q380), $A$2:$P$352,6,FALSE)*'DGNB LCA Results'!$N$3,0))))</f>
        <v>0</v>
      </c>
      <c r="G380" s="121">
        <f>IF('DGNB LCA Results'!$P$4=4,VLOOKUP(CONCATENATE('DGNB LCA Results'!$M$3,"_",Q380), $A$2:$P$352,7,FALSE)*'DGNB LCA Results'!$N$3+
                                                                  VLOOKUP(CONCATENATE('DGNB LCA Results'!$K$3,"_",Q380), $A$2:$P$352,7,FALSE)*'DGNB LCA Results'!$L$3+
                                                                  VLOOKUP(CONCATENATE('DGNB LCA Results'!$I$3,"_",Q380), $A$2:$P$352,7,FALSE)*'DGNB LCA Results'!$J$3+
                                                                  VLOOKUP(CONCATENATE('DGNB LCA Results'!$G$3,"_",Q380), $A$2:$P$352,7,FALSE)*'DGNB LCA Results'!$H$3,
IF('DGNB LCA Results'!$P$4=3,VLOOKUP(CONCATENATE('DGNB LCA Results'!$M$3,"_",Q380), $A$2:$P$352,7,FALSE)*'DGNB LCA Results'!$N$3+
                                                                VLOOKUP(CONCATENATE('DGNB LCA Results'!$K$3,"_",Q380), $A$2:$P$352,7,FALSE)*'DGNB LCA Results'!$L$3+
                                                                VLOOKUP(CONCATENATE('DGNB LCA Results'!$I$3,"_",Q380),$A$2:$P$352,7,FALSE)*'DGNB LCA Results'!$J$3,
IF('DGNB LCA Results'!$P$4=2,VLOOKUP(CONCATENATE('DGNB LCA Results'!$M$3,"_",Q380), $A$2:$P$352,7,FALSE)*'DGNB LCA Results'!$N$3+
                                                                 VLOOKUP(CONCATENATE('DGNB LCA Results'!$K$3,"_",Q380),$A$2:$P$352,7,FALSE)*'DGNB LCA Results'!$L$3,
IF('DGNB LCA Results'!$P$4=1,VLOOKUP(CONCATENATE('DGNB LCA Results'!$M$3,"_",Q380), $A$2:$P$352,7,FALSE)*'DGNB LCA Results'!$N$3,0))))</f>
        <v>0</v>
      </c>
      <c r="H380" s="120">
        <f>IF('DGNB LCA Results'!$P$4=4,VLOOKUP(CONCATENATE('DGNB LCA Results'!$M$3,"_",Q380), $A$2:$P$352,8,FALSE)*'DGNB LCA Results'!$N$3+
                                                                  VLOOKUP(CONCATENATE('DGNB LCA Results'!$K$3,"_",Q380), $A$2:$P$352,8,FALSE)*'DGNB LCA Results'!$L$3+
                                                                  VLOOKUP(CONCATENATE('DGNB LCA Results'!$I$3,"_",Q380), $A$2:$P$352,8,FALSE)*'DGNB LCA Results'!$J$3+
                                                                  VLOOKUP(CONCATENATE('DGNB LCA Results'!$G$3,"_",Q380), $A$2:$P$352,8,FALSE)*'DGNB LCA Results'!$H$3,
IF('DGNB LCA Results'!$P$4=3,VLOOKUP(CONCATENATE('DGNB LCA Results'!$M$3,"_",Q380), $A$2:$P$352,8,FALSE)*'DGNB LCA Results'!$N$3+
                                                                VLOOKUP(CONCATENATE('DGNB LCA Results'!$K$3,"_",Q380), $A$2:$P$352,8,FALSE)*'DGNB LCA Results'!$L$3+
                                                                VLOOKUP(CONCATENATE('DGNB LCA Results'!$I$3,"_",Q380),$A$2:$P$352,8,FALSE)*'DGNB LCA Results'!$J$3,
IF('DGNB LCA Results'!$P$4=2,VLOOKUP(CONCATENATE('DGNB LCA Results'!$M$3,"_",Q380), $A$2:$P$352,8,FALSE)*'DGNB LCA Results'!$N$3+
                                                                 VLOOKUP(CONCATENATE('DGNB LCA Results'!$K$3,"_",Q380),$A$2:$P$352,8,FALSE)*'DGNB LCA Results'!$L$3,
IF('DGNB LCA Results'!$P$4=1,VLOOKUP(CONCATENATE('DGNB LCA Results'!$M$3,"_",Q380), $A$2:$P$352,8,FALSE)*'DGNB LCA Results'!$N$3,0))))</f>
        <v>0</v>
      </c>
      <c r="I380" s="47">
        <f>IF('DGNB LCA Results'!$P$4=4,VLOOKUP(CONCATENATE('DGNB LCA Results'!$M$3,"_",Q380), $A$2:$P$352,9,FALSE)*'DGNB LCA Results'!$N$3+
                                                                  VLOOKUP(CONCATENATE('DGNB LCA Results'!$K$3,"_",Q380), $A$2:$P$352,9,FALSE)*'DGNB LCA Results'!$L$3+
                                                                  VLOOKUP(CONCATENATE('DGNB LCA Results'!$I$3,"_",Q380), $A$2:$P$352,9,FALSE)*'DGNB LCA Results'!$J$3+
                                                                  VLOOKUP(CONCATENATE('DGNB LCA Results'!$G$3,"_",Q380), $A$2:$P$352,9,FALSE)*'DGNB LCA Results'!$H$3,
IF('DGNB LCA Results'!$P$4=3,VLOOKUP(CONCATENATE('DGNB LCA Results'!$M$3,"_",Q380), $A$2:$P$352,9,FALSE)*'DGNB LCA Results'!$N$3+
                                                                VLOOKUP(CONCATENATE('DGNB LCA Results'!$K$3,"_",Q380), $A$2:$P$352,9,FALSE)*'DGNB LCA Results'!$L$3+
                                                                VLOOKUP(CONCATENATE('DGNB LCA Results'!$I$3,"_",Q380),$A$2:$P$352,9,FALSE)*'DGNB LCA Results'!$J$3,
IF('DGNB LCA Results'!$P$4=2,VLOOKUP(CONCATENATE('DGNB LCA Results'!$M$3,"_",Q380), $A$2:$P$352,9,FALSE)*'DGNB LCA Results'!$N$3+
                                                                 VLOOKUP(CONCATENATE('DGNB LCA Results'!$K$3,"_",Q380),$A$2:$P$352,9,FALSE)*'DGNB LCA Results'!$L$3,
IF('DGNB LCA Results'!$P$4=1,VLOOKUP(CONCATENATE('DGNB LCA Results'!$M$3,"_",Q380), $A$2:$P$352,9,FALSE)*'DGNB LCA Results'!$N$3,0))))</f>
        <v>0</v>
      </c>
      <c r="J380" s="121">
        <f>IF('DGNB LCA Results'!$P$4=4,VLOOKUP(CONCATENATE('DGNB LCA Results'!$M$3,"_",Q380), $A$2:$P$352,10,FALSE)*'DGNB LCA Results'!$N$3+
                                                                  VLOOKUP(CONCATENATE('DGNB LCA Results'!$K$3,"_",Q380), $A$2:$P$352,10,FALSE)*'DGNB LCA Results'!$L$3+
                                                                  VLOOKUP(CONCATENATE('DGNB LCA Results'!$I$3,"_",Q380), $A$2:$P$352,10,FALSE)*'DGNB LCA Results'!$J$3+
                                                                  VLOOKUP(CONCATENATE('DGNB LCA Results'!$G$3,"_",Q380), $A$2:$P$352,10,FALSE)*'DGNB LCA Results'!$H$3,
IF('DGNB LCA Results'!$P$4=3,VLOOKUP(CONCATENATE('DGNB LCA Results'!$M$3,"_",Q380), $A$2:$P$352,10,FALSE)*'DGNB LCA Results'!$N$3+
                                                                VLOOKUP(CONCATENATE('DGNB LCA Results'!$K$3,"_",Q380), $A$2:$P$352,10,FALSE)*'DGNB LCA Results'!$L$3+
                                                                VLOOKUP(CONCATENATE('DGNB LCA Results'!$I$3,"_",Q380),$A$2:$P$352,10,FALSE)*'DGNB LCA Results'!$J$3,
IF('DGNB LCA Results'!$P$4=2,VLOOKUP(CONCATENATE('DGNB LCA Results'!$M$3,"_",Q380), $A$2:$P$352,10,FALSE)*'DGNB LCA Results'!$N$3+
                                                                 VLOOKUP(CONCATENATE('DGNB LCA Results'!$K$3,"_",Q380),$A$2:$P$352,10,FALSE)*'DGNB LCA Results'!$L$3,
IF('DGNB LCA Results'!$P$4=1,VLOOKUP(CONCATENATE('DGNB LCA Results'!$M$3,"_",Q380), $A$2:$P$352,10,FALSE)*'DGNB LCA Results'!$N$3,0))))</f>
        <v>0</v>
      </c>
      <c r="K380" s="120">
        <f>IF('DGNB LCA Results'!$P$4=4,VLOOKUP(CONCATENATE('DGNB LCA Results'!$M$3,"_",Q380), $A$2:$P$352,11,FALSE)*'DGNB LCA Results'!$N$3+
                                                                  VLOOKUP(CONCATENATE('DGNB LCA Results'!$K$3,"_",Q380), $A$2:$P$352,11,FALSE)*'DGNB LCA Results'!$L$3+
                                                                  VLOOKUP(CONCATENATE('DGNB LCA Results'!$I$3,"_",Q380), $A$2:$P$352,11,FALSE)*'DGNB LCA Results'!$J$3+
                                                                  VLOOKUP(CONCATENATE('DGNB LCA Results'!$G$3,"_",Q380), $A$2:$P$352,11,FALSE)*'DGNB LCA Results'!$H$3,
IF('DGNB LCA Results'!$P$4=3,VLOOKUP(CONCATENATE('DGNB LCA Results'!$M$3,"_",Q380), $A$2:$P$352,11,FALSE)*'DGNB LCA Results'!$N$3+
                                                                VLOOKUP(CONCATENATE('DGNB LCA Results'!$K$3,"_",Q380), $A$2:$P$352,11,FALSE)*'DGNB LCA Results'!$L$3+
                                                                VLOOKUP(CONCATENATE('DGNB LCA Results'!$I$3,"_",Q380),$A$2:$P$352,11,FALSE)*'DGNB LCA Results'!$J$3,
IF('DGNB LCA Results'!$P$4=2,VLOOKUP(CONCATENATE('DGNB LCA Results'!$M$3,"_",Q380), $A$2:$P$352,11,FALSE)*'DGNB LCA Results'!$N$3+
                                                                 VLOOKUP(CONCATENATE('DGNB LCA Results'!$K$3,"_",Q380),$A$2:$P$352,11,FALSE)*'DGNB LCA Results'!$L$3,
IF('DGNB LCA Results'!$P$4=1,VLOOKUP(CONCATENATE('DGNB LCA Results'!$M$3,"_",Q380), $A$2:$P$352,11,FALSE)*'DGNB LCA Results'!$N$3,0))))</f>
        <v>0</v>
      </c>
      <c r="L380" s="47">
        <f>IF('DGNB LCA Results'!$P$4=4,VLOOKUP(CONCATENATE('DGNB LCA Results'!$M$3,"_",Q380), $A$2:$P$352,12,FALSE)*'DGNB LCA Results'!$N$3+
                                                                  VLOOKUP(CONCATENATE('DGNB LCA Results'!$K$3,"_",Q380), $A$2:$P$352,12,FALSE)*'DGNB LCA Results'!$L$3+
                                                                  VLOOKUP(CONCATENATE('DGNB LCA Results'!$I$3,"_",Q380), $A$2:$P$352,12,FALSE)*'DGNB LCA Results'!$J$3+
                                                                  VLOOKUP(CONCATENATE('DGNB LCA Results'!$G$3,"_",Q380), $A$2:$P$352,12,FALSE)*'DGNB LCA Results'!$H$3,
IF('DGNB LCA Results'!$P$4=3,VLOOKUP(CONCATENATE('DGNB LCA Results'!$M$3,"_",Q380), $A$2:$P$352,12,FALSE)*'DGNB LCA Results'!$N$3+
                                                                VLOOKUP(CONCATENATE('DGNB LCA Results'!$K$3,"_",Q380), $A$2:$P$352,12,FALSE)*'DGNB LCA Results'!$L$3+
                                                                VLOOKUP(CONCATENATE('DGNB LCA Results'!$I$3,"_",Q380),$A$2:$P$352,12,FALSE)*'DGNB LCA Results'!$J$3,
IF('DGNB LCA Results'!$P$4=2,VLOOKUP(CONCATENATE('DGNB LCA Results'!$M$3,"_",Q380), $A$2:$P$352,12,FALSE)*'DGNB LCA Results'!$N$3+
                                                                 VLOOKUP(CONCATENATE('DGNB LCA Results'!$K$3,"_",Q380),$A$2:$P$352,12,FALSE)*'DGNB LCA Results'!$L$3,
IF('DGNB LCA Results'!$P$4=1,VLOOKUP(CONCATENATE('DGNB LCA Results'!$M$3,"_",Q380), $A$2:$P$352,12,FALSE)*'DGNB LCA Results'!$N$3,0))))</f>
        <v>0</v>
      </c>
      <c r="M380" s="121">
        <f>IF('DGNB LCA Results'!$P$4=4,VLOOKUP(CONCATENATE('DGNB LCA Results'!$M$3,"_",Q380), $A$2:$P$352,13,FALSE)*'DGNB LCA Results'!$N$3+
                                                                  VLOOKUP(CONCATENATE('DGNB LCA Results'!$K$3,"_",Q380), $A$2:$P$352,13,FALSE)*'DGNB LCA Results'!$L$3+
                                                                  VLOOKUP(CONCATENATE('DGNB LCA Results'!$I$3,"_",Q380), $A$2:$P$352,13,FALSE)*'DGNB LCA Results'!$J$3+
                                                                  VLOOKUP(CONCATENATE('DGNB LCA Results'!$G$3,"_",Q380), $A$2:$P$352,13,FALSE)*'DGNB LCA Results'!$H$3,
IF('DGNB LCA Results'!$P$4=3,VLOOKUP(CONCATENATE('DGNB LCA Results'!$M$3,"_",Q380), $A$2:$P$352,13,FALSE)*'DGNB LCA Results'!$N$3+
                                                                VLOOKUP(CONCATENATE('DGNB LCA Results'!$K$3,"_",Q380), $A$2:$P$352,13,FALSE)*'DGNB LCA Results'!$L$3+
                                                                VLOOKUP(CONCATENATE('DGNB LCA Results'!$I$3,"_",Q380),$A$2:$P$352,13,FALSE)*'DGNB LCA Results'!$J$3,
IF('DGNB LCA Results'!$P$4=2,VLOOKUP(CONCATENATE('DGNB LCA Results'!$M$3,"_",Q380), $A$2:$P$352,13,FALSE)*'DGNB LCA Results'!$N$3+
                                                                 VLOOKUP(CONCATENATE('DGNB LCA Results'!$K$3,"_",Q380),$A$2:$P$352,13,FALSE)*'DGNB LCA Results'!$L$3,
IF('DGNB LCA Results'!$P$4=1,VLOOKUP(CONCATENATE('DGNB LCA Results'!$M$3,"_",Q380), $A$2:$P$352,13,FALSE)*'DGNB LCA Results'!$N$3,0))))</f>
        <v>0</v>
      </c>
      <c r="N380" s="120">
        <f>IF('DGNB LCA Results'!$P$4=4,VLOOKUP(CONCATENATE('DGNB LCA Results'!$M$3,"_",Q380), $A$2:$P$352,14,FALSE)*'DGNB LCA Results'!$N$3+
                                                                  VLOOKUP(CONCATENATE('DGNB LCA Results'!$K$3,"_",Q380), $A$2:$P$352,14,FALSE)*'DGNB LCA Results'!$L$3+
                                                                  VLOOKUP(CONCATENATE('DGNB LCA Results'!$I$3,"_",Q380), $A$2:$P$352,14,FALSE)*'DGNB LCA Results'!$J$3+
                                                                  VLOOKUP(CONCATENATE('DGNB LCA Results'!$G$3,"_",Q380), $A$2:$P$352,14,FALSE)*'DGNB LCA Results'!$H$3,
IF('DGNB LCA Results'!$P$4=3,VLOOKUP(CONCATENATE('DGNB LCA Results'!$M$3,"_",Q380), $A$2:$P$352,14,FALSE)*'DGNB LCA Results'!$N$3+
                                                                VLOOKUP(CONCATENATE('DGNB LCA Results'!$K$3,"_",Q380), $A$2:$P$352,14,FALSE)*'DGNB LCA Results'!$L$3+
                                                                VLOOKUP(CONCATENATE('DGNB LCA Results'!$I$3,"_",Q380),$A$2:$P$352,14,FALSE)*'DGNB LCA Results'!$J$3,
IF('DGNB LCA Results'!$P$4=2,VLOOKUP(CONCATENATE('DGNB LCA Results'!$M$3,"_",Q380), $A$2:$P$352,14,FALSE)*'DGNB LCA Results'!$N$3+
                                                                 VLOOKUP(CONCATENATE('DGNB LCA Results'!$K$3,"_",Q380),$A$2:$P$352,14,FALSE)*'DGNB LCA Results'!$L$3,
IF('DGNB LCA Results'!$P$4=1,VLOOKUP(CONCATENATE('DGNB LCA Results'!$M$3,"_",Q380), $A$2:$P$352,14,FALSE)*'DGNB LCA Results'!$N$3,0))))</f>
        <v>0</v>
      </c>
      <c r="O380" s="47">
        <f>IF('DGNB LCA Results'!$P$4=4,VLOOKUP(CONCATENATE('DGNB LCA Results'!$M$3,"_",Q380), $A$2:$P$352,15,FALSE)*'DGNB LCA Results'!$N$3+
                                                                  VLOOKUP(CONCATENATE('DGNB LCA Results'!$K$3,"_",Q380), $A$2:$P$352,15,FALSE)*'DGNB LCA Results'!$L$3+
                                                                  VLOOKUP(CONCATENATE('DGNB LCA Results'!$I$3,"_",Q380), $A$2:$P$352,15,FALSE)*'DGNB LCA Results'!$J$3+
                                                                  VLOOKUP(CONCATENATE('DGNB LCA Results'!$G$3,"_",Q380), $A$2:$P$352,15,FALSE)*'DGNB LCA Results'!$H$3,
IF('DGNB LCA Results'!$P$4=3,VLOOKUP(CONCATENATE('DGNB LCA Results'!$M$3,"_",Q380), $A$2:$P$352,15,FALSE)*'DGNB LCA Results'!$N$3+
                                                                VLOOKUP(CONCATENATE('DGNB LCA Results'!$K$3,"_",Q380), $A$2:$P$352,15,FALSE)*'DGNB LCA Results'!$L$3+
                                                                VLOOKUP(CONCATENATE('DGNB LCA Results'!$I$3,"_",Q380),$A$2:$P$352,15,FALSE)*'DGNB LCA Results'!$J$3,
IF('DGNB LCA Results'!$P$4=2,VLOOKUP(CONCATENATE('DGNB LCA Results'!$M$3,"_",Q380), $A$2:$P$352,15,FALSE)*'DGNB LCA Results'!$N$3+
                                                                 VLOOKUP(CONCATENATE('DGNB LCA Results'!$K$3,"_",Q380),$A$2:$P$352,15,FALSE)*'DGNB LCA Results'!$L$3,
IF('DGNB LCA Results'!$P$4=1,VLOOKUP(CONCATENATE('DGNB LCA Results'!$M$3,"_",Q380), $A$2:$P$352,15,FALSE)*'DGNB LCA Results'!$N$3,0))))</f>
        <v>0</v>
      </c>
      <c r="P380" s="121">
        <f>IF('DGNB LCA Results'!$P$4=4,VLOOKUP(CONCATENATE('DGNB LCA Results'!$M$3,"_",Q380), $A$2:$P$352,16,FALSE)*'DGNB LCA Results'!$N$3+
                                                                  VLOOKUP(CONCATENATE('DGNB LCA Results'!$K$3,"_",Q380), $A$2:$P$352,16,FALSE)*'DGNB LCA Results'!$L$3+
                                                                  VLOOKUP(CONCATENATE('DGNB LCA Results'!$I$3,"_",Q380), $A$2:$P$352,16,FALSE)*'DGNB LCA Results'!$J$3+
                                                                  VLOOKUP(CONCATENATE('DGNB LCA Results'!$G$3,"_",Q380), $A$2:$P$352,16,FALSE)*'DGNB LCA Results'!$H$3,
IF('DGNB LCA Results'!$P$4=3,VLOOKUP(CONCATENATE('DGNB LCA Results'!$M$3,"_",Q380), $A$2:$P$352,16,FALSE)*'DGNB LCA Results'!$N$3+
                                                                VLOOKUP(CONCATENATE('DGNB LCA Results'!$K$3,"_",Q380), $A$2:$P$352,16,FALSE)*'DGNB LCA Results'!$L$3+
                                                                VLOOKUP(CONCATENATE('DGNB LCA Results'!$I$3,"_",Q380),$A$2:$P$352,16,FALSE)*'DGNB LCA Results'!$J$3,
IF('DGNB LCA Results'!$P$4=2,VLOOKUP(CONCATENATE('DGNB LCA Results'!$M$3,"_",Q380), $A$2:$P$352,16,FALSE)*'DGNB LCA Results'!$N$3+
                                                                 VLOOKUP(CONCATENATE('DGNB LCA Results'!$K$3,"_",Q380),$A$2:$P$352,16,FALSE)*'DGNB LCA Results'!$L$3,
IF('DGNB LCA Results'!$P$4=1,VLOOKUP(CONCATENATE('DGNB LCA Results'!$M$3,"_",Q380), $A$2:$P$352,16,FALSE)*'DGNB LCA Results'!$N$3,0))))</f>
        <v>0</v>
      </c>
      <c r="Q380">
        <v>40</v>
      </c>
      <c r="R380" t="s">
        <v>194</v>
      </c>
    </row>
    <row r="381" spans="1:18" x14ac:dyDescent="0.2">
      <c r="A381" t="str">
        <f t="shared" si="8"/>
        <v>MIX15_50</v>
      </c>
      <c r="B381" s="120">
        <f>IF('DGNB LCA Results'!$P$4=4,VLOOKUP(CONCATENATE('DGNB LCA Results'!$M$3,"_",Q381), $A$2:$P$352,2,FALSE)*'DGNB LCA Results'!$N$3+
                                                                  VLOOKUP(CONCATENATE('DGNB LCA Results'!$K$3,"_",Q381), $A$2:$P$352,2,FALSE)*'DGNB LCA Results'!$L$3+
                                                                  VLOOKUP(CONCATENATE('DGNB LCA Results'!$I$3,"_",Q381), $A$2:$P$352,2,FALSE)*'DGNB LCA Results'!$J$3+
                                                                  VLOOKUP(CONCATENATE('DGNB LCA Results'!$G$3,"_",Q381), $A$2:$P$352,2,FALSE)*'DGNB LCA Results'!$H$3,
IF('DGNB LCA Results'!$P$4=3,VLOOKUP(CONCATENATE('DGNB LCA Results'!$M$3,"_",Q381), $A$2:$P$352,2,FALSE)*'DGNB LCA Results'!$N$3+
                                                                VLOOKUP(CONCATENATE('DGNB LCA Results'!$K$3,"_",Q381), $A$2:$P$352,2,FALSE)*'DGNB LCA Results'!$L$3+
                                                                VLOOKUP(CONCATENATE('DGNB LCA Results'!$I$3,"_",Q381),$A$2:$P$352,2,FALSE)*'DGNB LCA Results'!$J$3,
IF('DGNB LCA Results'!$P$4=2,VLOOKUP(CONCATENATE('DGNB LCA Results'!$M$3,"_",Q381), $A$2:$P$352,2,FALSE)*'DGNB LCA Results'!$N$3+
                                                                 VLOOKUP(CONCATENATE('DGNB LCA Results'!$K$3,"_",Q381),$A$2:$P$352,2,FALSE)*'DGNB LCA Results'!$L$3,
IF('DGNB LCA Results'!$P$4=1,VLOOKUP(CONCATENATE('DGNB LCA Results'!$M$3,"_",Q381), $A$2:$P$352,2,FALSE)*'DGNB LCA Results'!$N$3,0))))</f>
        <v>0</v>
      </c>
      <c r="C381" s="49">
        <f>IF('DGNB LCA Results'!$P$4=4,VLOOKUP(CONCATENATE('DGNB LCA Results'!$M$3,"_",Q381), $A$2:$P$352,3,FALSE)*'DGNB LCA Results'!$N$3+
                                                                  VLOOKUP(CONCATENATE('DGNB LCA Results'!$K$3,"_",Q381), $A$2:$P$352,3,FALSE)*'DGNB LCA Results'!$L$3+
                                                                  VLOOKUP(CONCATENATE('DGNB LCA Results'!$I$3,"_",Q381), $A$2:$P$352,3,FALSE)*'DGNB LCA Results'!$J$3+
                                                                  VLOOKUP(CONCATENATE('DGNB LCA Results'!$G$3,"_",Q381), $A$2:$P$352,3,FALSE)*'DGNB LCA Results'!$H$3,
IF('DGNB LCA Results'!$P$4=3,VLOOKUP(CONCATENATE('DGNB LCA Results'!$M$3,"_",Q381), $A$2:$P$352,3,FALSE)*'DGNB LCA Results'!$N$3+
                                                                VLOOKUP(CONCATENATE('DGNB LCA Results'!$K$3,"_",Q381), $A$2:$P$352,3,FALSE)*'DGNB LCA Results'!$L$3+
                                                                VLOOKUP(CONCATENATE('DGNB LCA Results'!$I$3,"_",Q381),$A$2:$P$352,3,FALSE)*'DGNB LCA Results'!$J$3,
IF('DGNB LCA Results'!$P$4=2,VLOOKUP(CONCATENATE('DGNB LCA Results'!$M$3,"_",Q381), $A$2:$P$352,3,FALSE)*'DGNB LCA Results'!$N$3+
                                                                 VLOOKUP(CONCATENATE('DGNB LCA Results'!$K$3,"_",Q381),$A$2:$P$352,3,FALSE)*'DGNB LCA Results'!$L$3,
IF('DGNB LCA Results'!$P$4=1,VLOOKUP(CONCATENATE('DGNB LCA Results'!$M$3,"_",Q381), $A$2:$P$352,3,FALSE)*'DGNB LCA Results'!$N$3,0))))</f>
        <v>0</v>
      </c>
      <c r="D381" s="49">
        <f>IF('DGNB LCA Results'!$P$4=4,VLOOKUP(CONCATENATE('DGNB LCA Results'!$M$3,"_",Q381), $A$2:$P$352,4,FALSE)*'DGNB LCA Results'!$N$3+
                                                                  VLOOKUP(CONCATENATE('DGNB LCA Results'!$K$3,"_",Q381), $A$2:$P$352,4,FALSE)*'DGNB LCA Results'!$L$3+
                                                                  VLOOKUP(CONCATENATE('DGNB LCA Results'!$I$3,"_",Q381), $A$2:$P$352,4,FALSE)*'DGNB LCA Results'!$J$3+
                                                                  VLOOKUP(CONCATENATE('DGNB LCA Results'!$G$3,"_",Q381), $A$2:$P$352,4,FALSE)*'DGNB LCA Results'!$H$3,
IF('DGNB LCA Results'!$P$4=3,VLOOKUP(CONCATENATE('DGNB LCA Results'!$M$3,"_",Q381), $A$2:$P$352,4,FALSE)*'DGNB LCA Results'!$N$3+
                                                                VLOOKUP(CONCATENATE('DGNB LCA Results'!$K$3,"_",Q381), $A$2:$P$352,4,FALSE)*'DGNB LCA Results'!$L$3+
                                                                VLOOKUP(CONCATENATE('DGNB LCA Results'!$I$3,"_",Q381),$A$2:$P$352,4,FALSE)*'DGNB LCA Results'!$J$3,
IF('DGNB LCA Results'!$P$4=2,VLOOKUP(CONCATENATE('DGNB LCA Results'!$M$3,"_",Q381), $A$2:$P$352,4,FALSE)*'DGNB LCA Results'!$N$3+
                                                                 VLOOKUP(CONCATENATE('DGNB LCA Results'!$K$3,"_",Q381),$A$2:$P$352,4,FALSE)*'DGNB LCA Results'!$L$3,
IF('DGNB LCA Results'!$P$4=1,VLOOKUP(CONCATENATE('DGNB LCA Results'!$M$3,"_",Q381), $A$2:$P$352,4,FALSE)*'DGNB LCA Results'!$N$3,0))))</f>
        <v>0</v>
      </c>
      <c r="E381" s="120">
        <f>IF('DGNB LCA Results'!$P$4=4,VLOOKUP(CONCATENATE('DGNB LCA Results'!$M$3,"_",Q381), $A$2:$P$352,5,FALSE)*'DGNB LCA Results'!$N$3+
                                                                  VLOOKUP(CONCATENATE('DGNB LCA Results'!$K$3,"_",Q381), $A$2:$P$352,5,FALSE)*'DGNB LCA Results'!$L$3+
                                                                  VLOOKUP(CONCATENATE('DGNB LCA Results'!$I$3,"_",Q381), $A$2:$P$352,5,FALSE)*'DGNB LCA Results'!$J$3+
                                                                  VLOOKUP(CONCATENATE('DGNB LCA Results'!$G$3,"_",Q381), $A$2:$P$352,5,FALSE)*'DGNB LCA Results'!$H$3,
IF('DGNB LCA Results'!$P$4=3,VLOOKUP(CONCATENATE('DGNB LCA Results'!$M$3,"_",Q381), $A$2:$P$352,5,FALSE)*'DGNB LCA Results'!$N$3+
                                                                VLOOKUP(CONCATENATE('DGNB LCA Results'!$K$3,"_",Q381), $A$2:$P$352,5,FALSE)*'DGNB LCA Results'!$L$3+
                                                                VLOOKUP(CONCATENATE('DGNB LCA Results'!$I$3,"_",Q381),$A$2:$P$352,5,FALSE)*'DGNB LCA Results'!$J$3,
IF('DGNB LCA Results'!$P$4=2,VLOOKUP(CONCATENATE('DGNB LCA Results'!$M$3,"_",Q381), $A$2:$P$352,5,FALSE)*'DGNB LCA Results'!$N$3+
                                                                 VLOOKUP(CONCATENATE('DGNB LCA Results'!$K$3,"_",Q381),$A$2:$P$352,5,FALSE)*'DGNB LCA Results'!$L$3,
IF('DGNB LCA Results'!$P$4=1,VLOOKUP(CONCATENATE('DGNB LCA Results'!$M$3,"_",Q381), $A$2:$P$352,5,FALSE)*'DGNB LCA Results'!$N$3,0))))</f>
        <v>0</v>
      </c>
      <c r="F381" s="47">
        <f>IF('DGNB LCA Results'!$P$4=4,VLOOKUP(CONCATENATE('DGNB LCA Results'!$M$3,"_",Q381), $A$2:$P$352,6,FALSE)*'DGNB LCA Results'!$N$3+
                                                                  VLOOKUP(CONCATENATE('DGNB LCA Results'!$K$3,"_",Q381), $A$2:$P$352,6,FALSE)*'DGNB LCA Results'!$L$3+
                                                                  VLOOKUP(CONCATENATE('DGNB LCA Results'!$I$3,"_",Q381), $A$2:$P$352,6,FALSE)*'DGNB LCA Results'!$J$3+
                                                                  VLOOKUP(CONCATENATE('DGNB LCA Results'!$G$3,"_",Q381), $A$2:$P$352,6,FALSE)*'DGNB LCA Results'!$H$3,
IF('DGNB LCA Results'!$P$4=3,VLOOKUP(CONCATENATE('DGNB LCA Results'!$M$3,"_",Q381), $A$2:$P$352,6,FALSE)*'DGNB LCA Results'!$N$3+
                                                                VLOOKUP(CONCATENATE('DGNB LCA Results'!$K$3,"_",Q381), $A$2:$P$352,6,FALSE)*'DGNB LCA Results'!$L$3+
                                                                VLOOKUP(CONCATENATE('DGNB LCA Results'!$I$3,"_",Q381),$A$2:$P$352,6,FALSE)*'DGNB LCA Results'!$J$3,
IF('DGNB LCA Results'!$P$4=2,VLOOKUP(CONCATENATE('DGNB LCA Results'!$M$3,"_",Q381), $A$2:$P$352,6,FALSE)*'DGNB LCA Results'!$N$3+
                                                                 VLOOKUP(CONCATENATE('DGNB LCA Results'!$K$3,"_",Q381),$A$2:$P$352,6,FALSE)*'DGNB LCA Results'!$L$3,
IF('DGNB LCA Results'!$P$4=1,VLOOKUP(CONCATENATE('DGNB LCA Results'!$M$3,"_",Q381), $A$2:$P$352,6,FALSE)*'DGNB LCA Results'!$N$3,0))))</f>
        <v>0</v>
      </c>
      <c r="G381" s="121">
        <f>IF('DGNB LCA Results'!$P$4=4,VLOOKUP(CONCATENATE('DGNB LCA Results'!$M$3,"_",Q381), $A$2:$P$352,7,FALSE)*'DGNB LCA Results'!$N$3+
                                                                  VLOOKUP(CONCATENATE('DGNB LCA Results'!$K$3,"_",Q381), $A$2:$P$352,7,FALSE)*'DGNB LCA Results'!$L$3+
                                                                  VLOOKUP(CONCATENATE('DGNB LCA Results'!$I$3,"_",Q381), $A$2:$P$352,7,FALSE)*'DGNB LCA Results'!$J$3+
                                                                  VLOOKUP(CONCATENATE('DGNB LCA Results'!$G$3,"_",Q381), $A$2:$P$352,7,FALSE)*'DGNB LCA Results'!$H$3,
IF('DGNB LCA Results'!$P$4=3,VLOOKUP(CONCATENATE('DGNB LCA Results'!$M$3,"_",Q381), $A$2:$P$352,7,FALSE)*'DGNB LCA Results'!$N$3+
                                                                VLOOKUP(CONCATENATE('DGNB LCA Results'!$K$3,"_",Q381), $A$2:$P$352,7,FALSE)*'DGNB LCA Results'!$L$3+
                                                                VLOOKUP(CONCATENATE('DGNB LCA Results'!$I$3,"_",Q381),$A$2:$P$352,7,FALSE)*'DGNB LCA Results'!$J$3,
IF('DGNB LCA Results'!$P$4=2,VLOOKUP(CONCATENATE('DGNB LCA Results'!$M$3,"_",Q381), $A$2:$P$352,7,FALSE)*'DGNB LCA Results'!$N$3+
                                                                 VLOOKUP(CONCATENATE('DGNB LCA Results'!$K$3,"_",Q381),$A$2:$P$352,7,FALSE)*'DGNB LCA Results'!$L$3,
IF('DGNB LCA Results'!$P$4=1,VLOOKUP(CONCATENATE('DGNB LCA Results'!$M$3,"_",Q381), $A$2:$P$352,7,FALSE)*'DGNB LCA Results'!$N$3,0))))</f>
        <v>0</v>
      </c>
      <c r="H381" s="120">
        <f>IF('DGNB LCA Results'!$P$4=4,VLOOKUP(CONCATENATE('DGNB LCA Results'!$M$3,"_",Q381), $A$2:$P$352,8,FALSE)*'DGNB LCA Results'!$N$3+
                                                                  VLOOKUP(CONCATENATE('DGNB LCA Results'!$K$3,"_",Q381), $A$2:$P$352,8,FALSE)*'DGNB LCA Results'!$L$3+
                                                                  VLOOKUP(CONCATENATE('DGNB LCA Results'!$I$3,"_",Q381), $A$2:$P$352,8,FALSE)*'DGNB LCA Results'!$J$3+
                                                                  VLOOKUP(CONCATENATE('DGNB LCA Results'!$G$3,"_",Q381), $A$2:$P$352,8,FALSE)*'DGNB LCA Results'!$H$3,
IF('DGNB LCA Results'!$P$4=3,VLOOKUP(CONCATENATE('DGNB LCA Results'!$M$3,"_",Q381), $A$2:$P$352,8,FALSE)*'DGNB LCA Results'!$N$3+
                                                                VLOOKUP(CONCATENATE('DGNB LCA Results'!$K$3,"_",Q381), $A$2:$P$352,8,FALSE)*'DGNB LCA Results'!$L$3+
                                                                VLOOKUP(CONCATENATE('DGNB LCA Results'!$I$3,"_",Q381),$A$2:$P$352,8,FALSE)*'DGNB LCA Results'!$J$3,
IF('DGNB LCA Results'!$P$4=2,VLOOKUP(CONCATENATE('DGNB LCA Results'!$M$3,"_",Q381), $A$2:$P$352,8,FALSE)*'DGNB LCA Results'!$N$3+
                                                                 VLOOKUP(CONCATENATE('DGNB LCA Results'!$K$3,"_",Q381),$A$2:$P$352,8,FALSE)*'DGNB LCA Results'!$L$3,
IF('DGNB LCA Results'!$P$4=1,VLOOKUP(CONCATENATE('DGNB LCA Results'!$M$3,"_",Q381), $A$2:$P$352,8,FALSE)*'DGNB LCA Results'!$N$3,0))))</f>
        <v>0</v>
      </c>
      <c r="I381" s="47">
        <f>IF('DGNB LCA Results'!$P$4=4,VLOOKUP(CONCATENATE('DGNB LCA Results'!$M$3,"_",Q381), $A$2:$P$352,9,FALSE)*'DGNB LCA Results'!$N$3+
                                                                  VLOOKUP(CONCATENATE('DGNB LCA Results'!$K$3,"_",Q381), $A$2:$P$352,9,FALSE)*'DGNB LCA Results'!$L$3+
                                                                  VLOOKUP(CONCATENATE('DGNB LCA Results'!$I$3,"_",Q381), $A$2:$P$352,9,FALSE)*'DGNB LCA Results'!$J$3+
                                                                  VLOOKUP(CONCATENATE('DGNB LCA Results'!$G$3,"_",Q381), $A$2:$P$352,9,FALSE)*'DGNB LCA Results'!$H$3,
IF('DGNB LCA Results'!$P$4=3,VLOOKUP(CONCATENATE('DGNB LCA Results'!$M$3,"_",Q381), $A$2:$P$352,9,FALSE)*'DGNB LCA Results'!$N$3+
                                                                VLOOKUP(CONCATENATE('DGNB LCA Results'!$K$3,"_",Q381), $A$2:$P$352,9,FALSE)*'DGNB LCA Results'!$L$3+
                                                                VLOOKUP(CONCATENATE('DGNB LCA Results'!$I$3,"_",Q381),$A$2:$P$352,9,FALSE)*'DGNB LCA Results'!$J$3,
IF('DGNB LCA Results'!$P$4=2,VLOOKUP(CONCATENATE('DGNB LCA Results'!$M$3,"_",Q381), $A$2:$P$352,9,FALSE)*'DGNB LCA Results'!$N$3+
                                                                 VLOOKUP(CONCATENATE('DGNB LCA Results'!$K$3,"_",Q381),$A$2:$P$352,9,FALSE)*'DGNB LCA Results'!$L$3,
IF('DGNB LCA Results'!$P$4=1,VLOOKUP(CONCATENATE('DGNB LCA Results'!$M$3,"_",Q381), $A$2:$P$352,9,FALSE)*'DGNB LCA Results'!$N$3,0))))</f>
        <v>0</v>
      </c>
      <c r="J381" s="121">
        <f>IF('DGNB LCA Results'!$P$4=4,VLOOKUP(CONCATENATE('DGNB LCA Results'!$M$3,"_",Q381), $A$2:$P$352,10,FALSE)*'DGNB LCA Results'!$N$3+
                                                                  VLOOKUP(CONCATENATE('DGNB LCA Results'!$K$3,"_",Q381), $A$2:$P$352,10,FALSE)*'DGNB LCA Results'!$L$3+
                                                                  VLOOKUP(CONCATENATE('DGNB LCA Results'!$I$3,"_",Q381), $A$2:$P$352,10,FALSE)*'DGNB LCA Results'!$J$3+
                                                                  VLOOKUP(CONCATENATE('DGNB LCA Results'!$G$3,"_",Q381), $A$2:$P$352,10,FALSE)*'DGNB LCA Results'!$H$3,
IF('DGNB LCA Results'!$P$4=3,VLOOKUP(CONCATENATE('DGNB LCA Results'!$M$3,"_",Q381), $A$2:$P$352,10,FALSE)*'DGNB LCA Results'!$N$3+
                                                                VLOOKUP(CONCATENATE('DGNB LCA Results'!$K$3,"_",Q381), $A$2:$P$352,10,FALSE)*'DGNB LCA Results'!$L$3+
                                                                VLOOKUP(CONCATENATE('DGNB LCA Results'!$I$3,"_",Q381),$A$2:$P$352,10,FALSE)*'DGNB LCA Results'!$J$3,
IF('DGNB LCA Results'!$P$4=2,VLOOKUP(CONCATENATE('DGNB LCA Results'!$M$3,"_",Q381), $A$2:$P$352,10,FALSE)*'DGNB LCA Results'!$N$3+
                                                                 VLOOKUP(CONCATENATE('DGNB LCA Results'!$K$3,"_",Q381),$A$2:$P$352,10,FALSE)*'DGNB LCA Results'!$L$3,
IF('DGNB LCA Results'!$P$4=1,VLOOKUP(CONCATENATE('DGNB LCA Results'!$M$3,"_",Q381), $A$2:$P$352,10,FALSE)*'DGNB LCA Results'!$N$3,0))))</f>
        <v>0</v>
      </c>
      <c r="K381" s="120">
        <f>IF('DGNB LCA Results'!$P$4=4,VLOOKUP(CONCATENATE('DGNB LCA Results'!$M$3,"_",Q381), $A$2:$P$352,11,FALSE)*'DGNB LCA Results'!$N$3+
                                                                  VLOOKUP(CONCATENATE('DGNB LCA Results'!$K$3,"_",Q381), $A$2:$P$352,11,FALSE)*'DGNB LCA Results'!$L$3+
                                                                  VLOOKUP(CONCATENATE('DGNB LCA Results'!$I$3,"_",Q381), $A$2:$P$352,11,FALSE)*'DGNB LCA Results'!$J$3+
                                                                  VLOOKUP(CONCATENATE('DGNB LCA Results'!$G$3,"_",Q381), $A$2:$P$352,11,FALSE)*'DGNB LCA Results'!$H$3,
IF('DGNB LCA Results'!$P$4=3,VLOOKUP(CONCATENATE('DGNB LCA Results'!$M$3,"_",Q381), $A$2:$P$352,11,FALSE)*'DGNB LCA Results'!$N$3+
                                                                VLOOKUP(CONCATENATE('DGNB LCA Results'!$K$3,"_",Q381), $A$2:$P$352,11,FALSE)*'DGNB LCA Results'!$L$3+
                                                                VLOOKUP(CONCATENATE('DGNB LCA Results'!$I$3,"_",Q381),$A$2:$P$352,11,FALSE)*'DGNB LCA Results'!$J$3,
IF('DGNB LCA Results'!$P$4=2,VLOOKUP(CONCATENATE('DGNB LCA Results'!$M$3,"_",Q381), $A$2:$P$352,11,FALSE)*'DGNB LCA Results'!$N$3+
                                                                 VLOOKUP(CONCATENATE('DGNB LCA Results'!$K$3,"_",Q381),$A$2:$P$352,11,FALSE)*'DGNB LCA Results'!$L$3,
IF('DGNB LCA Results'!$P$4=1,VLOOKUP(CONCATENATE('DGNB LCA Results'!$M$3,"_",Q381), $A$2:$P$352,11,FALSE)*'DGNB LCA Results'!$N$3,0))))</f>
        <v>0</v>
      </c>
      <c r="L381" s="47">
        <f>IF('DGNB LCA Results'!$P$4=4,VLOOKUP(CONCATENATE('DGNB LCA Results'!$M$3,"_",Q381), $A$2:$P$352,12,FALSE)*'DGNB LCA Results'!$N$3+
                                                                  VLOOKUP(CONCATENATE('DGNB LCA Results'!$K$3,"_",Q381), $A$2:$P$352,12,FALSE)*'DGNB LCA Results'!$L$3+
                                                                  VLOOKUP(CONCATENATE('DGNB LCA Results'!$I$3,"_",Q381), $A$2:$P$352,12,FALSE)*'DGNB LCA Results'!$J$3+
                                                                  VLOOKUP(CONCATENATE('DGNB LCA Results'!$G$3,"_",Q381), $A$2:$P$352,12,FALSE)*'DGNB LCA Results'!$H$3,
IF('DGNB LCA Results'!$P$4=3,VLOOKUP(CONCATENATE('DGNB LCA Results'!$M$3,"_",Q381), $A$2:$P$352,12,FALSE)*'DGNB LCA Results'!$N$3+
                                                                VLOOKUP(CONCATENATE('DGNB LCA Results'!$K$3,"_",Q381), $A$2:$P$352,12,FALSE)*'DGNB LCA Results'!$L$3+
                                                                VLOOKUP(CONCATENATE('DGNB LCA Results'!$I$3,"_",Q381),$A$2:$P$352,12,FALSE)*'DGNB LCA Results'!$J$3,
IF('DGNB LCA Results'!$P$4=2,VLOOKUP(CONCATENATE('DGNB LCA Results'!$M$3,"_",Q381), $A$2:$P$352,12,FALSE)*'DGNB LCA Results'!$N$3+
                                                                 VLOOKUP(CONCATENATE('DGNB LCA Results'!$K$3,"_",Q381),$A$2:$P$352,12,FALSE)*'DGNB LCA Results'!$L$3,
IF('DGNB LCA Results'!$P$4=1,VLOOKUP(CONCATENATE('DGNB LCA Results'!$M$3,"_",Q381), $A$2:$P$352,12,FALSE)*'DGNB LCA Results'!$N$3,0))))</f>
        <v>0</v>
      </c>
      <c r="M381" s="121">
        <f>IF('DGNB LCA Results'!$P$4=4,VLOOKUP(CONCATENATE('DGNB LCA Results'!$M$3,"_",Q381), $A$2:$P$352,13,FALSE)*'DGNB LCA Results'!$N$3+
                                                                  VLOOKUP(CONCATENATE('DGNB LCA Results'!$K$3,"_",Q381), $A$2:$P$352,13,FALSE)*'DGNB LCA Results'!$L$3+
                                                                  VLOOKUP(CONCATENATE('DGNB LCA Results'!$I$3,"_",Q381), $A$2:$P$352,13,FALSE)*'DGNB LCA Results'!$J$3+
                                                                  VLOOKUP(CONCATENATE('DGNB LCA Results'!$G$3,"_",Q381), $A$2:$P$352,13,FALSE)*'DGNB LCA Results'!$H$3,
IF('DGNB LCA Results'!$P$4=3,VLOOKUP(CONCATENATE('DGNB LCA Results'!$M$3,"_",Q381), $A$2:$P$352,13,FALSE)*'DGNB LCA Results'!$N$3+
                                                                VLOOKUP(CONCATENATE('DGNB LCA Results'!$K$3,"_",Q381), $A$2:$P$352,13,FALSE)*'DGNB LCA Results'!$L$3+
                                                                VLOOKUP(CONCATENATE('DGNB LCA Results'!$I$3,"_",Q381),$A$2:$P$352,13,FALSE)*'DGNB LCA Results'!$J$3,
IF('DGNB LCA Results'!$P$4=2,VLOOKUP(CONCATENATE('DGNB LCA Results'!$M$3,"_",Q381), $A$2:$P$352,13,FALSE)*'DGNB LCA Results'!$N$3+
                                                                 VLOOKUP(CONCATENATE('DGNB LCA Results'!$K$3,"_",Q381),$A$2:$P$352,13,FALSE)*'DGNB LCA Results'!$L$3,
IF('DGNB LCA Results'!$P$4=1,VLOOKUP(CONCATENATE('DGNB LCA Results'!$M$3,"_",Q381), $A$2:$P$352,13,FALSE)*'DGNB LCA Results'!$N$3,0))))</f>
        <v>0</v>
      </c>
      <c r="N381" s="120">
        <f>IF('DGNB LCA Results'!$P$4=4,VLOOKUP(CONCATENATE('DGNB LCA Results'!$M$3,"_",Q381), $A$2:$P$352,14,FALSE)*'DGNB LCA Results'!$N$3+
                                                                  VLOOKUP(CONCATENATE('DGNB LCA Results'!$K$3,"_",Q381), $A$2:$P$352,14,FALSE)*'DGNB LCA Results'!$L$3+
                                                                  VLOOKUP(CONCATENATE('DGNB LCA Results'!$I$3,"_",Q381), $A$2:$P$352,14,FALSE)*'DGNB LCA Results'!$J$3+
                                                                  VLOOKUP(CONCATENATE('DGNB LCA Results'!$G$3,"_",Q381), $A$2:$P$352,14,FALSE)*'DGNB LCA Results'!$H$3,
IF('DGNB LCA Results'!$P$4=3,VLOOKUP(CONCATENATE('DGNB LCA Results'!$M$3,"_",Q381), $A$2:$P$352,14,FALSE)*'DGNB LCA Results'!$N$3+
                                                                VLOOKUP(CONCATENATE('DGNB LCA Results'!$K$3,"_",Q381), $A$2:$P$352,14,FALSE)*'DGNB LCA Results'!$L$3+
                                                                VLOOKUP(CONCATENATE('DGNB LCA Results'!$I$3,"_",Q381),$A$2:$P$352,14,FALSE)*'DGNB LCA Results'!$J$3,
IF('DGNB LCA Results'!$P$4=2,VLOOKUP(CONCATENATE('DGNB LCA Results'!$M$3,"_",Q381), $A$2:$P$352,14,FALSE)*'DGNB LCA Results'!$N$3+
                                                                 VLOOKUP(CONCATENATE('DGNB LCA Results'!$K$3,"_",Q381),$A$2:$P$352,14,FALSE)*'DGNB LCA Results'!$L$3,
IF('DGNB LCA Results'!$P$4=1,VLOOKUP(CONCATENATE('DGNB LCA Results'!$M$3,"_",Q381), $A$2:$P$352,14,FALSE)*'DGNB LCA Results'!$N$3,0))))</f>
        <v>0</v>
      </c>
      <c r="O381" s="47">
        <f>IF('DGNB LCA Results'!$P$4=4,VLOOKUP(CONCATENATE('DGNB LCA Results'!$M$3,"_",Q381), $A$2:$P$352,15,FALSE)*'DGNB LCA Results'!$N$3+
                                                                  VLOOKUP(CONCATENATE('DGNB LCA Results'!$K$3,"_",Q381), $A$2:$P$352,15,FALSE)*'DGNB LCA Results'!$L$3+
                                                                  VLOOKUP(CONCATENATE('DGNB LCA Results'!$I$3,"_",Q381), $A$2:$P$352,15,FALSE)*'DGNB LCA Results'!$J$3+
                                                                  VLOOKUP(CONCATENATE('DGNB LCA Results'!$G$3,"_",Q381), $A$2:$P$352,15,FALSE)*'DGNB LCA Results'!$H$3,
IF('DGNB LCA Results'!$P$4=3,VLOOKUP(CONCATENATE('DGNB LCA Results'!$M$3,"_",Q381), $A$2:$P$352,15,FALSE)*'DGNB LCA Results'!$N$3+
                                                                VLOOKUP(CONCATENATE('DGNB LCA Results'!$K$3,"_",Q381), $A$2:$P$352,15,FALSE)*'DGNB LCA Results'!$L$3+
                                                                VLOOKUP(CONCATENATE('DGNB LCA Results'!$I$3,"_",Q381),$A$2:$P$352,15,FALSE)*'DGNB LCA Results'!$J$3,
IF('DGNB LCA Results'!$P$4=2,VLOOKUP(CONCATENATE('DGNB LCA Results'!$M$3,"_",Q381), $A$2:$P$352,15,FALSE)*'DGNB LCA Results'!$N$3+
                                                                 VLOOKUP(CONCATENATE('DGNB LCA Results'!$K$3,"_",Q381),$A$2:$P$352,15,FALSE)*'DGNB LCA Results'!$L$3,
IF('DGNB LCA Results'!$P$4=1,VLOOKUP(CONCATENATE('DGNB LCA Results'!$M$3,"_",Q381), $A$2:$P$352,15,FALSE)*'DGNB LCA Results'!$N$3,0))))</f>
        <v>0</v>
      </c>
      <c r="P381" s="121">
        <f>IF('DGNB LCA Results'!$P$4=4,VLOOKUP(CONCATENATE('DGNB LCA Results'!$M$3,"_",Q381), $A$2:$P$352,16,FALSE)*'DGNB LCA Results'!$N$3+
                                                                  VLOOKUP(CONCATENATE('DGNB LCA Results'!$K$3,"_",Q381), $A$2:$P$352,16,FALSE)*'DGNB LCA Results'!$L$3+
                                                                  VLOOKUP(CONCATENATE('DGNB LCA Results'!$I$3,"_",Q381), $A$2:$P$352,16,FALSE)*'DGNB LCA Results'!$J$3+
                                                                  VLOOKUP(CONCATENATE('DGNB LCA Results'!$G$3,"_",Q381), $A$2:$P$352,16,FALSE)*'DGNB LCA Results'!$H$3,
IF('DGNB LCA Results'!$P$4=3,VLOOKUP(CONCATENATE('DGNB LCA Results'!$M$3,"_",Q381), $A$2:$P$352,16,FALSE)*'DGNB LCA Results'!$N$3+
                                                                VLOOKUP(CONCATENATE('DGNB LCA Results'!$K$3,"_",Q381), $A$2:$P$352,16,FALSE)*'DGNB LCA Results'!$L$3+
                                                                VLOOKUP(CONCATENATE('DGNB LCA Results'!$I$3,"_",Q381),$A$2:$P$352,16,FALSE)*'DGNB LCA Results'!$J$3,
IF('DGNB LCA Results'!$P$4=2,VLOOKUP(CONCATENATE('DGNB LCA Results'!$M$3,"_",Q381), $A$2:$P$352,16,FALSE)*'DGNB LCA Results'!$N$3+
                                                                 VLOOKUP(CONCATENATE('DGNB LCA Results'!$K$3,"_",Q381),$A$2:$P$352,16,FALSE)*'DGNB LCA Results'!$L$3,
IF('DGNB LCA Results'!$P$4=1,VLOOKUP(CONCATENATE('DGNB LCA Results'!$M$3,"_",Q381), $A$2:$P$352,16,FALSE)*'DGNB LCA Results'!$N$3,0))))</f>
        <v>0</v>
      </c>
      <c r="Q381">
        <v>50</v>
      </c>
      <c r="R381" t="s">
        <v>194</v>
      </c>
    </row>
    <row r="382" spans="1:18" x14ac:dyDescent="0.2">
      <c r="A382" t="str">
        <f t="shared" si="8"/>
        <v>MIX15_60</v>
      </c>
      <c r="B382" s="120">
        <f>IF('DGNB LCA Results'!$P$4=4,VLOOKUP(CONCATENATE('DGNB LCA Results'!$M$3,"_",Q382), $A$2:$P$352,2,FALSE)*'DGNB LCA Results'!$N$3+
                                                                  VLOOKUP(CONCATENATE('DGNB LCA Results'!$K$3,"_",Q382), $A$2:$P$352,2,FALSE)*'DGNB LCA Results'!$L$3+
                                                                  VLOOKUP(CONCATENATE('DGNB LCA Results'!$I$3,"_",Q382), $A$2:$P$352,2,FALSE)*'DGNB LCA Results'!$J$3+
                                                                  VLOOKUP(CONCATENATE('DGNB LCA Results'!$G$3,"_",Q382), $A$2:$P$352,2,FALSE)*'DGNB LCA Results'!$H$3,
IF('DGNB LCA Results'!$P$4=3,VLOOKUP(CONCATENATE('DGNB LCA Results'!$M$3,"_",Q382), $A$2:$P$352,2,FALSE)*'DGNB LCA Results'!$N$3+
                                                                VLOOKUP(CONCATENATE('DGNB LCA Results'!$K$3,"_",Q382), $A$2:$P$352,2,FALSE)*'DGNB LCA Results'!$L$3+
                                                                VLOOKUP(CONCATENATE('DGNB LCA Results'!$I$3,"_",Q382),$A$2:$P$352,2,FALSE)*'DGNB LCA Results'!$J$3,
IF('DGNB LCA Results'!$P$4=2,VLOOKUP(CONCATENATE('DGNB LCA Results'!$M$3,"_",Q382), $A$2:$P$352,2,FALSE)*'DGNB LCA Results'!$N$3+
                                                                 VLOOKUP(CONCATENATE('DGNB LCA Results'!$K$3,"_",Q382),$A$2:$P$352,2,FALSE)*'DGNB LCA Results'!$L$3,
IF('DGNB LCA Results'!$P$4=1,VLOOKUP(CONCATENATE('DGNB LCA Results'!$M$3,"_",Q382), $A$2:$P$352,2,FALSE)*'DGNB LCA Results'!$N$3,0))))</f>
        <v>0</v>
      </c>
      <c r="C382" s="49">
        <f>IF('DGNB LCA Results'!$P$4=4,VLOOKUP(CONCATENATE('DGNB LCA Results'!$M$3,"_",Q382), $A$2:$P$352,3,FALSE)*'DGNB LCA Results'!$N$3+
                                                                  VLOOKUP(CONCATENATE('DGNB LCA Results'!$K$3,"_",Q382), $A$2:$P$352,3,FALSE)*'DGNB LCA Results'!$L$3+
                                                                  VLOOKUP(CONCATENATE('DGNB LCA Results'!$I$3,"_",Q382), $A$2:$P$352,3,FALSE)*'DGNB LCA Results'!$J$3+
                                                                  VLOOKUP(CONCATENATE('DGNB LCA Results'!$G$3,"_",Q382), $A$2:$P$352,3,FALSE)*'DGNB LCA Results'!$H$3,
IF('DGNB LCA Results'!$P$4=3,VLOOKUP(CONCATENATE('DGNB LCA Results'!$M$3,"_",Q382), $A$2:$P$352,3,FALSE)*'DGNB LCA Results'!$N$3+
                                                                VLOOKUP(CONCATENATE('DGNB LCA Results'!$K$3,"_",Q382), $A$2:$P$352,3,FALSE)*'DGNB LCA Results'!$L$3+
                                                                VLOOKUP(CONCATENATE('DGNB LCA Results'!$I$3,"_",Q382),$A$2:$P$352,3,FALSE)*'DGNB LCA Results'!$J$3,
IF('DGNB LCA Results'!$P$4=2,VLOOKUP(CONCATENATE('DGNB LCA Results'!$M$3,"_",Q382), $A$2:$P$352,3,FALSE)*'DGNB LCA Results'!$N$3+
                                                                 VLOOKUP(CONCATENATE('DGNB LCA Results'!$K$3,"_",Q382),$A$2:$P$352,3,FALSE)*'DGNB LCA Results'!$L$3,
IF('DGNB LCA Results'!$P$4=1,VLOOKUP(CONCATENATE('DGNB LCA Results'!$M$3,"_",Q382), $A$2:$P$352,3,FALSE)*'DGNB LCA Results'!$N$3,0))))</f>
        <v>0</v>
      </c>
      <c r="D382" s="49">
        <f>IF('DGNB LCA Results'!$P$4=4,VLOOKUP(CONCATENATE('DGNB LCA Results'!$M$3,"_",Q382), $A$2:$P$352,4,FALSE)*'DGNB LCA Results'!$N$3+
                                                                  VLOOKUP(CONCATENATE('DGNB LCA Results'!$K$3,"_",Q382), $A$2:$P$352,4,FALSE)*'DGNB LCA Results'!$L$3+
                                                                  VLOOKUP(CONCATENATE('DGNB LCA Results'!$I$3,"_",Q382), $A$2:$P$352,4,FALSE)*'DGNB LCA Results'!$J$3+
                                                                  VLOOKUP(CONCATENATE('DGNB LCA Results'!$G$3,"_",Q382), $A$2:$P$352,4,FALSE)*'DGNB LCA Results'!$H$3,
IF('DGNB LCA Results'!$P$4=3,VLOOKUP(CONCATENATE('DGNB LCA Results'!$M$3,"_",Q382), $A$2:$P$352,4,FALSE)*'DGNB LCA Results'!$N$3+
                                                                VLOOKUP(CONCATENATE('DGNB LCA Results'!$K$3,"_",Q382), $A$2:$P$352,4,FALSE)*'DGNB LCA Results'!$L$3+
                                                                VLOOKUP(CONCATENATE('DGNB LCA Results'!$I$3,"_",Q382),$A$2:$P$352,4,FALSE)*'DGNB LCA Results'!$J$3,
IF('DGNB LCA Results'!$P$4=2,VLOOKUP(CONCATENATE('DGNB LCA Results'!$M$3,"_",Q382), $A$2:$P$352,4,FALSE)*'DGNB LCA Results'!$N$3+
                                                                 VLOOKUP(CONCATENATE('DGNB LCA Results'!$K$3,"_",Q382),$A$2:$P$352,4,FALSE)*'DGNB LCA Results'!$L$3,
IF('DGNB LCA Results'!$P$4=1,VLOOKUP(CONCATENATE('DGNB LCA Results'!$M$3,"_",Q382), $A$2:$P$352,4,FALSE)*'DGNB LCA Results'!$N$3,0))))</f>
        <v>0</v>
      </c>
      <c r="E382" s="120">
        <f>IF('DGNB LCA Results'!$P$4=4,VLOOKUP(CONCATENATE('DGNB LCA Results'!$M$3,"_",Q382), $A$2:$P$352,5,FALSE)*'DGNB LCA Results'!$N$3+
                                                                  VLOOKUP(CONCATENATE('DGNB LCA Results'!$K$3,"_",Q382), $A$2:$P$352,5,FALSE)*'DGNB LCA Results'!$L$3+
                                                                  VLOOKUP(CONCATENATE('DGNB LCA Results'!$I$3,"_",Q382), $A$2:$P$352,5,FALSE)*'DGNB LCA Results'!$J$3+
                                                                  VLOOKUP(CONCATENATE('DGNB LCA Results'!$G$3,"_",Q382), $A$2:$P$352,5,FALSE)*'DGNB LCA Results'!$H$3,
IF('DGNB LCA Results'!$P$4=3,VLOOKUP(CONCATENATE('DGNB LCA Results'!$M$3,"_",Q382), $A$2:$P$352,5,FALSE)*'DGNB LCA Results'!$N$3+
                                                                VLOOKUP(CONCATENATE('DGNB LCA Results'!$K$3,"_",Q382), $A$2:$P$352,5,FALSE)*'DGNB LCA Results'!$L$3+
                                                                VLOOKUP(CONCATENATE('DGNB LCA Results'!$I$3,"_",Q382),$A$2:$P$352,5,FALSE)*'DGNB LCA Results'!$J$3,
IF('DGNB LCA Results'!$P$4=2,VLOOKUP(CONCATENATE('DGNB LCA Results'!$M$3,"_",Q382), $A$2:$P$352,5,FALSE)*'DGNB LCA Results'!$N$3+
                                                                 VLOOKUP(CONCATENATE('DGNB LCA Results'!$K$3,"_",Q382),$A$2:$P$352,5,FALSE)*'DGNB LCA Results'!$L$3,
IF('DGNB LCA Results'!$P$4=1,VLOOKUP(CONCATENATE('DGNB LCA Results'!$M$3,"_",Q382), $A$2:$P$352,5,FALSE)*'DGNB LCA Results'!$N$3,0))))</f>
        <v>0</v>
      </c>
      <c r="F382" s="47">
        <f>IF('DGNB LCA Results'!$P$4=4,VLOOKUP(CONCATENATE('DGNB LCA Results'!$M$3,"_",Q382), $A$2:$P$352,6,FALSE)*'DGNB LCA Results'!$N$3+
                                                                  VLOOKUP(CONCATENATE('DGNB LCA Results'!$K$3,"_",Q382), $A$2:$P$352,6,FALSE)*'DGNB LCA Results'!$L$3+
                                                                  VLOOKUP(CONCATENATE('DGNB LCA Results'!$I$3,"_",Q382), $A$2:$P$352,6,FALSE)*'DGNB LCA Results'!$J$3+
                                                                  VLOOKUP(CONCATENATE('DGNB LCA Results'!$G$3,"_",Q382), $A$2:$P$352,6,FALSE)*'DGNB LCA Results'!$H$3,
IF('DGNB LCA Results'!$P$4=3,VLOOKUP(CONCATENATE('DGNB LCA Results'!$M$3,"_",Q382), $A$2:$P$352,6,FALSE)*'DGNB LCA Results'!$N$3+
                                                                VLOOKUP(CONCATENATE('DGNB LCA Results'!$K$3,"_",Q382), $A$2:$P$352,6,FALSE)*'DGNB LCA Results'!$L$3+
                                                                VLOOKUP(CONCATENATE('DGNB LCA Results'!$I$3,"_",Q382),$A$2:$P$352,6,FALSE)*'DGNB LCA Results'!$J$3,
IF('DGNB LCA Results'!$P$4=2,VLOOKUP(CONCATENATE('DGNB LCA Results'!$M$3,"_",Q382), $A$2:$P$352,6,FALSE)*'DGNB LCA Results'!$N$3+
                                                                 VLOOKUP(CONCATENATE('DGNB LCA Results'!$K$3,"_",Q382),$A$2:$P$352,6,FALSE)*'DGNB LCA Results'!$L$3,
IF('DGNB LCA Results'!$P$4=1,VLOOKUP(CONCATENATE('DGNB LCA Results'!$M$3,"_",Q382), $A$2:$P$352,6,FALSE)*'DGNB LCA Results'!$N$3,0))))</f>
        <v>0</v>
      </c>
      <c r="G382" s="121">
        <f>IF('DGNB LCA Results'!$P$4=4,VLOOKUP(CONCATENATE('DGNB LCA Results'!$M$3,"_",Q382), $A$2:$P$352,7,FALSE)*'DGNB LCA Results'!$N$3+
                                                                  VLOOKUP(CONCATENATE('DGNB LCA Results'!$K$3,"_",Q382), $A$2:$P$352,7,FALSE)*'DGNB LCA Results'!$L$3+
                                                                  VLOOKUP(CONCATENATE('DGNB LCA Results'!$I$3,"_",Q382), $A$2:$P$352,7,FALSE)*'DGNB LCA Results'!$J$3+
                                                                  VLOOKUP(CONCATENATE('DGNB LCA Results'!$G$3,"_",Q382), $A$2:$P$352,7,FALSE)*'DGNB LCA Results'!$H$3,
IF('DGNB LCA Results'!$P$4=3,VLOOKUP(CONCATENATE('DGNB LCA Results'!$M$3,"_",Q382), $A$2:$P$352,7,FALSE)*'DGNB LCA Results'!$N$3+
                                                                VLOOKUP(CONCATENATE('DGNB LCA Results'!$K$3,"_",Q382), $A$2:$P$352,7,FALSE)*'DGNB LCA Results'!$L$3+
                                                                VLOOKUP(CONCATENATE('DGNB LCA Results'!$I$3,"_",Q382),$A$2:$P$352,7,FALSE)*'DGNB LCA Results'!$J$3,
IF('DGNB LCA Results'!$P$4=2,VLOOKUP(CONCATENATE('DGNB LCA Results'!$M$3,"_",Q382), $A$2:$P$352,7,FALSE)*'DGNB LCA Results'!$N$3+
                                                                 VLOOKUP(CONCATENATE('DGNB LCA Results'!$K$3,"_",Q382),$A$2:$P$352,7,FALSE)*'DGNB LCA Results'!$L$3,
IF('DGNB LCA Results'!$P$4=1,VLOOKUP(CONCATENATE('DGNB LCA Results'!$M$3,"_",Q382), $A$2:$P$352,7,FALSE)*'DGNB LCA Results'!$N$3,0))))</f>
        <v>0</v>
      </c>
      <c r="H382" s="120">
        <f>IF('DGNB LCA Results'!$P$4=4,VLOOKUP(CONCATENATE('DGNB LCA Results'!$M$3,"_",Q382), $A$2:$P$352,8,FALSE)*'DGNB LCA Results'!$N$3+
                                                                  VLOOKUP(CONCATENATE('DGNB LCA Results'!$K$3,"_",Q382), $A$2:$P$352,8,FALSE)*'DGNB LCA Results'!$L$3+
                                                                  VLOOKUP(CONCATENATE('DGNB LCA Results'!$I$3,"_",Q382), $A$2:$P$352,8,FALSE)*'DGNB LCA Results'!$J$3+
                                                                  VLOOKUP(CONCATENATE('DGNB LCA Results'!$G$3,"_",Q382), $A$2:$P$352,8,FALSE)*'DGNB LCA Results'!$H$3,
IF('DGNB LCA Results'!$P$4=3,VLOOKUP(CONCATENATE('DGNB LCA Results'!$M$3,"_",Q382), $A$2:$P$352,8,FALSE)*'DGNB LCA Results'!$N$3+
                                                                VLOOKUP(CONCATENATE('DGNB LCA Results'!$K$3,"_",Q382), $A$2:$P$352,8,FALSE)*'DGNB LCA Results'!$L$3+
                                                                VLOOKUP(CONCATENATE('DGNB LCA Results'!$I$3,"_",Q382),$A$2:$P$352,8,FALSE)*'DGNB LCA Results'!$J$3,
IF('DGNB LCA Results'!$P$4=2,VLOOKUP(CONCATENATE('DGNB LCA Results'!$M$3,"_",Q382), $A$2:$P$352,8,FALSE)*'DGNB LCA Results'!$N$3+
                                                                 VLOOKUP(CONCATENATE('DGNB LCA Results'!$K$3,"_",Q382),$A$2:$P$352,8,FALSE)*'DGNB LCA Results'!$L$3,
IF('DGNB LCA Results'!$P$4=1,VLOOKUP(CONCATENATE('DGNB LCA Results'!$M$3,"_",Q382), $A$2:$P$352,8,FALSE)*'DGNB LCA Results'!$N$3,0))))</f>
        <v>0</v>
      </c>
      <c r="I382" s="47">
        <f>IF('DGNB LCA Results'!$P$4=4,VLOOKUP(CONCATENATE('DGNB LCA Results'!$M$3,"_",Q382), $A$2:$P$352,9,FALSE)*'DGNB LCA Results'!$N$3+
                                                                  VLOOKUP(CONCATENATE('DGNB LCA Results'!$K$3,"_",Q382), $A$2:$P$352,9,FALSE)*'DGNB LCA Results'!$L$3+
                                                                  VLOOKUP(CONCATENATE('DGNB LCA Results'!$I$3,"_",Q382), $A$2:$P$352,9,FALSE)*'DGNB LCA Results'!$J$3+
                                                                  VLOOKUP(CONCATENATE('DGNB LCA Results'!$G$3,"_",Q382), $A$2:$P$352,9,FALSE)*'DGNB LCA Results'!$H$3,
IF('DGNB LCA Results'!$P$4=3,VLOOKUP(CONCATENATE('DGNB LCA Results'!$M$3,"_",Q382), $A$2:$P$352,9,FALSE)*'DGNB LCA Results'!$N$3+
                                                                VLOOKUP(CONCATENATE('DGNB LCA Results'!$K$3,"_",Q382), $A$2:$P$352,9,FALSE)*'DGNB LCA Results'!$L$3+
                                                                VLOOKUP(CONCATENATE('DGNB LCA Results'!$I$3,"_",Q382),$A$2:$P$352,9,FALSE)*'DGNB LCA Results'!$J$3,
IF('DGNB LCA Results'!$P$4=2,VLOOKUP(CONCATENATE('DGNB LCA Results'!$M$3,"_",Q382), $A$2:$P$352,9,FALSE)*'DGNB LCA Results'!$N$3+
                                                                 VLOOKUP(CONCATENATE('DGNB LCA Results'!$K$3,"_",Q382),$A$2:$P$352,9,FALSE)*'DGNB LCA Results'!$L$3,
IF('DGNB LCA Results'!$P$4=1,VLOOKUP(CONCATENATE('DGNB LCA Results'!$M$3,"_",Q382), $A$2:$P$352,9,FALSE)*'DGNB LCA Results'!$N$3,0))))</f>
        <v>0</v>
      </c>
      <c r="J382" s="121">
        <f>IF('DGNB LCA Results'!$P$4=4,VLOOKUP(CONCATENATE('DGNB LCA Results'!$M$3,"_",Q382), $A$2:$P$352,10,FALSE)*'DGNB LCA Results'!$N$3+
                                                                  VLOOKUP(CONCATENATE('DGNB LCA Results'!$K$3,"_",Q382), $A$2:$P$352,10,FALSE)*'DGNB LCA Results'!$L$3+
                                                                  VLOOKUP(CONCATENATE('DGNB LCA Results'!$I$3,"_",Q382), $A$2:$P$352,10,FALSE)*'DGNB LCA Results'!$J$3+
                                                                  VLOOKUP(CONCATENATE('DGNB LCA Results'!$G$3,"_",Q382), $A$2:$P$352,10,FALSE)*'DGNB LCA Results'!$H$3,
IF('DGNB LCA Results'!$P$4=3,VLOOKUP(CONCATENATE('DGNB LCA Results'!$M$3,"_",Q382), $A$2:$P$352,10,FALSE)*'DGNB LCA Results'!$N$3+
                                                                VLOOKUP(CONCATENATE('DGNB LCA Results'!$K$3,"_",Q382), $A$2:$P$352,10,FALSE)*'DGNB LCA Results'!$L$3+
                                                                VLOOKUP(CONCATENATE('DGNB LCA Results'!$I$3,"_",Q382),$A$2:$P$352,10,FALSE)*'DGNB LCA Results'!$J$3,
IF('DGNB LCA Results'!$P$4=2,VLOOKUP(CONCATENATE('DGNB LCA Results'!$M$3,"_",Q382), $A$2:$P$352,10,FALSE)*'DGNB LCA Results'!$N$3+
                                                                 VLOOKUP(CONCATENATE('DGNB LCA Results'!$K$3,"_",Q382),$A$2:$P$352,10,FALSE)*'DGNB LCA Results'!$L$3,
IF('DGNB LCA Results'!$P$4=1,VLOOKUP(CONCATENATE('DGNB LCA Results'!$M$3,"_",Q382), $A$2:$P$352,10,FALSE)*'DGNB LCA Results'!$N$3,0))))</f>
        <v>0</v>
      </c>
      <c r="K382" s="120">
        <f>IF('DGNB LCA Results'!$P$4=4,VLOOKUP(CONCATENATE('DGNB LCA Results'!$M$3,"_",Q382), $A$2:$P$352,11,FALSE)*'DGNB LCA Results'!$N$3+
                                                                  VLOOKUP(CONCATENATE('DGNB LCA Results'!$K$3,"_",Q382), $A$2:$P$352,11,FALSE)*'DGNB LCA Results'!$L$3+
                                                                  VLOOKUP(CONCATENATE('DGNB LCA Results'!$I$3,"_",Q382), $A$2:$P$352,11,FALSE)*'DGNB LCA Results'!$J$3+
                                                                  VLOOKUP(CONCATENATE('DGNB LCA Results'!$G$3,"_",Q382), $A$2:$P$352,11,FALSE)*'DGNB LCA Results'!$H$3,
IF('DGNB LCA Results'!$P$4=3,VLOOKUP(CONCATENATE('DGNB LCA Results'!$M$3,"_",Q382), $A$2:$P$352,11,FALSE)*'DGNB LCA Results'!$N$3+
                                                                VLOOKUP(CONCATENATE('DGNB LCA Results'!$K$3,"_",Q382), $A$2:$P$352,11,FALSE)*'DGNB LCA Results'!$L$3+
                                                                VLOOKUP(CONCATENATE('DGNB LCA Results'!$I$3,"_",Q382),$A$2:$P$352,11,FALSE)*'DGNB LCA Results'!$J$3,
IF('DGNB LCA Results'!$P$4=2,VLOOKUP(CONCATENATE('DGNB LCA Results'!$M$3,"_",Q382), $A$2:$P$352,11,FALSE)*'DGNB LCA Results'!$N$3+
                                                                 VLOOKUP(CONCATENATE('DGNB LCA Results'!$K$3,"_",Q382),$A$2:$P$352,11,FALSE)*'DGNB LCA Results'!$L$3,
IF('DGNB LCA Results'!$P$4=1,VLOOKUP(CONCATENATE('DGNB LCA Results'!$M$3,"_",Q382), $A$2:$P$352,11,FALSE)*'DGNB LCA Results'!$N$3,0))))</f>
        <v>0</v>
      </c>
      <c r="L382" s="47">
        <f>IF('DGNB LCA Results'!$P$4=4,VLOOKUP(CONCATENATE('DGNB LCA Results'!$M$3,"_",Q382), $A$2:$P$352,12,FALSE)*'DGNB LCA Results'!$N$3+
                                                                  VLOOKUP(CONCATENATE('DGNB LCA Results'!$K$3,"_",Q382), $A$2:$P$352,12,FALSE)*'DGNB LCA Results'!$L$3+
                                                                  VLOOKUP(CONCATENATE('DGNB LCA Results'!$I$3,"_",Q382), $A$2:$P$352,12,FALSE)*'DGNB LCA Results'!$J$3+
                                                                  VLOOKUP(CONCATENATE('DGNB LCA Results'!$G$3,"_",Q382), $A$2:$P$352,12,FALSE)*'DGNB LCA Results'!$H$3,
IF('DGNB LCA Results'!$P$4=3,VLOOKUP(CONCATENATE('DGNB LCA Results'!$M$3,"_",Q382), $A$2:$P$352,12,FALSE)*'DGNB LCA Results'!$N$3+
                                                                VLOOKUP(CONCATENATE('DGNB LCA Results'!$K$3,"_",Q382), $A$2:$P$352,12,FALSE)*'DGNB LCA Results'!$L$3+
                                                                VLOOKUP(CONCATENATE('DGNB LCA Results'!$I$3,"_",Q382),$A$2:$P$352,12,FALSE)*'DGNB LCA Results'!$J$3,
IF('DGNB LCA Results'!$P$4=2,VLOOKUP(CONCATENATE('DGNB LCA Results'!$M$3,"_",Q382), $A$2:$P$352,12,FALSE)*'DGNB LCA Results'!$N$3+
                                                                 VLOOKUP(CONCATENATE('DGNB LCA Results'!$K$3,"_",Q382),$A$2:$P$352,12,FALSE)*'DGNB LCA Results'!$L$3,
IF('DGNB LCA Results'!$P$4=1,VLOOKUP(CONCATENATE('DGNB LCA Results'!$M$3,"_",Q382), $A$2:$P$352,12,FALSE)*'DGNB LCA Results'!$N$3,0))))</f>
        <v>0</v>
      </c>
      <c r="M382" s="121">
        <f>IF('DGNB LCA Results'!$P$4=4,VLOOKUP(CONCATENATE('DGNB LCA Results'!$M$3,"_",Q382), $A$2:$P$352,13,FALSE)*'DGNB LCA Results'!$N$3+
                                                                  VLOOKUP(CONCATENATE('DGNB LCA Results'!$K$3,"_",Q382), $A$2:$P$352,13,FALSE)*'DGNB LCA Results'!$L$3+
                                                                  VLOOKUP(CONCATENATE('DGNB LCA Results'!$I$3,"_",Q382), $A$2:$P$352,13,FALSE)*'DGNB LCA Results'!$J$3+
                                                                  VLOOKUP(CONCATENATE('DGNB LCA Results'!$G$3,"_",Q382), $A$2:$P$352,13,FALSE)*'DGNB LCA Results'!$H$3,
IF('DGNB LCA Results'!$P$4=3,VLOOKUP(CONCATENATE('DGNB LCA Results'!$M$3,"_",Q382), $A$2:$P$352,13,FALSE)*'DGNB LCA Results'!$N$3+
                                                                VLOOKUP(CONCATENATE('DGNB LCA Results'!$K$3,"_",Q382), $A$2:$P$352,13,FALSE)*'DGNB LCA Results'!$L$3+
                                                                VLOOKUP(CONCATENATE('DGNB LCA Results'!$I$3,"_",Q382),$A$2:$P$352,13,FALSE)*'DGNB LCA Results'!$J$3,
IF('DGNB LCA Results'!$P$4=2,VLOOKUP(CONCATENATE('DGNB LCA Results'!$M$3,"_",Q382), $A$2:$P$352,13,FALSE)*'DGNB LCA Results'!$N$3+
                                                                 VLOOKUP(CONCATENATE('DGNB LCA Results'!$K$3,"_",Q382),$A$2:$P$352,13,FALSE)*'DGNB LCA Results'!$L$3,
IF('DGNB LCA Results'!$P$4=1,VLOOKUP(CONCATENATE('DGNB LCA Results'!$M$3,"_",Q382), $A$2:$P$352,13,FALSE)*'DGNB LCA Results'!$N$3,0))))</f>
        <v>0</v>
      </c>
      <c r="N382" s="120">
        <f>IF('DGNB LCA Results'!$P$4=4,VLOOKUP(CONCATENATE('DGNB LCA Results'!$M$3,"_",Q382), $A$2:$P$352,14,FALSE)*'DGNB LCA Results'!$N$3+
                                                                  VLOOKUP(CONCATENATE('DGNB LCA Results'!$K$3,"_",Q382), $A$2:$P$352,14,FALSE)*'DGNB LCA Results'!$L$3+
                                                                  VLOOKUP(CONCATENATE('DGNB LCA Results'!$I$3,"_",Q382), $A$2:$P$352,14,FALSE)*'DGNB LCA Results'!$J$3+
                                                                  VLOOKUP(CONCATENATE('DGNB LCA Results'!$G$3,"_",Q382), $A$2:$P$352,14,FALSE)*'DGNB LCA Results'!$H$3,
IF('DGNB LCA Results'!$P$4=3,VLOOKUP(CONCATENATE('DGNB LCA Results'!$M$3,"_",Q382), $A$2:$P$352,14,FALSE)*'DGNB LCA Results'!$N$3+
                                                                VLOOKUP(CONCATENATE('DGNB LCA Results'!$K$3,"_",Q382), $A$2:$P$352,14,FALSE)*'DGNB LCA Results'!$L$3+
                                                                VLOOKUP(CONCATENATE('DGNB LCA Results'!$I$3,"_",Q382),$A$2:$P$352,14,FALSE)*'DGNB LCA Results'!$J$3,
IF('DGNB LCA Results'!$P$4=2,VLOOKUP(CONCATENATE('DGNB LCA Results'!$M$3,"_",Q382), $A$2:$P$352,14,FALSE)*'DGNB LCA Results'!$N$3+
                                                                 VLOOKUP(CONCATENATE('DGNB LCA Results'!$K$3,"_",Q382),$A$2:$P$352,14,FALSE)*'DGNB LCA Results'!$L$3,
IF('DGNB LCA Results'!$P$4=1,VLOOKUP(CONCATENATE('DGNB LCA Results'!$M$3,"_",Q382), $A$2:$P$352,14,FALSE)*'DGNB LCA Results'!$N$3,0))))</f>
        <v>0</v>
      </c>
      <c r="O382" s="47">
        <f>IF('DGNB LCA Results'!$P$4=4,VLOOKUP(CONCATENATE('DGNB LCA Results'!$M$3,"_",Q382), $A$2:$P$352,15,FALSE)*'DGNB LCA Results'!$N$3+
                                                                  VLOOKUP(CONCATENATE('DGNB LCA Results'!$K$3,"_",Q382), $A$2:$P$352,15,FALSE)*'DGNB LCA Results'!$L$3+
                                                                  VLOOKUP(CONCATENATE('DGNB LCA Results'!$I$3,"_",Q382), $A$2:$P$352,15,FALSE)*'DGNB LCA Results'!$J$3+
                                                                  VLOOKUP(CONCATENATE('DGNB LCA Results'!$G$3,"_",Q382), $A$2:$P$352,15,FALSE)*'DGNB LCA Results'!$H$3,
IF('DGNB LCA Results'!$P$4=3,VLOOKUP(CONCATENATE('DGNB LCA Results'!$M$3,"_",Q382), $A$2:$P$352,15,FALSE)*'DGNB LCA Results'!$N$3+
                                                                VLOOKUP(CONCATENATE('DGNB LCA Results'!$K$3,"_",Q382), $A$2:$P$352,15,FALSE)*'DGNB LCA Results'!$L$3+
                                                                VLOOKUP(CONCATENATE('DGNB LCA Results'!$I$3,"_",Q382),$A$2:$P$352,15,FALSE)*'DGNB LCA Results'!$J$3,
IF('DGNB LCA Results'!$P$4=2,VLOOKUP(CONCATENATE('DGNB LCA Results'!$M$3,"_",Q382), $A$2:$P$352,15,FALSE)*'DGNB LCA Results'!$N$3+
                                                                 VLOOKUP(CONCATENATE('DGNB LCA Results'!$K$3,"_",Q382),$A$2:$P$352,15,FALSE)*'DGNB LCA Results'!$L$3,
IF('DGNB LCA Results'!$P$4=1,VLOOKUP(CONCATENATE('DGNB LCA Results'!$M$3,"_",Q382), $A$2:$P$352,15,FALSE)*'DGNB LCA Results'!$N$3,0))))</f>
        <v>0</v>
      </c>
      <c r="P382" s="121">
        <f>IF('DGNB LCA Results'!$P$4=4,VLOOKUP(CONCATENATE('DGNB LCA Results'!$M$3,"_",Q382), $A$2:$P$352,16,FALSE)*'DGNB LCA Results'!$N$3+
                                                                  VLOOKUP(CONCATENATE('DGNB LCA Results'!$K$3,"_",Q382), $A$2:$P$352,16,FALSE)*'DGNB LCA Results'!$L$3+
                                                                  VLOOKUP(CONCATENATE('DGNB LCA Results'!$I$3,"_",Q382), $A$2:$P$352,16,FALSE)*'DGNB LCA Results'!$J$3+
                                                                  VLOOKUP(CONCATENATE('DGNB LCA Results'!$G$3,"_",Q382), $A$2:$P$352,16,FALSE)*'DGNB LCA Results'!$H$3,
IF('DGNB LCA Results'!$P$4=3,VLOOKUP(CONCATENATE('DGNB LCA Results'!$M$3,"_",Q382), $A$2:$P$352,16,FALSE)*'DGNB LCA Results'!$N$3+
                                                                VLOOKUP(CONCATENATE('DGNB LCA Results'!$K$3,"_",Q382), $A$2:$P$352,16,FALSE)*'DGNB LCA Results'!$L$3+
                                                                VLOOKUP(CONCATENATE('DGNB LCA Results'!$I$3,"_",Q382),$A$2:$P$352,16,FALSE)*'DGNB LCA Results'!$J$3,
IF('DGNB LCA Results'!$P$4=2,VLOOKUP(CONCATENATE('DGNB LCA Results'!$M$3,"_",Q382), $A$2:$P$352,16,FALSE)*'DGNB LCA Results'!$N$3+
                                                                 VLOOKUP(CONCATENATE('DGNB LCA Results'!$K$3,"_",Q382),$A$2:$P$352,16,FALSE)*'DGNB LCA Results'!$L$3,
IF('DGNB LCA Results'!$P$4=1,VLOOKUP(CONCATENATE('DGNB LCA Results'!$M$3,"_",Q382), $A$2:$P$352,16,FALSE)*'DGNB LCA Results'!$N$3,0))))</f>
        <v>0</v>
      </c>
      <c r="Q382">
        <v>60</v>
      </c>
      <c r="R382" t="s">
        <v>194</v>
      </c>
    </row>
    <row r="383" spans="1:18" x14ac:dyDescent="0.2">
      <c r="A383" t="str">
        <f t="shared" si="8"/>
        <v>MIX15_70</v>
      </c>
      <c r="B383" s="120">
        <f>IF('DGNB LCA Results'!$P$4=4,VLOOKUP(CONCATENATE('DGNB LCA Results'!$M$3,"_",Q383), $A$2:$P$352,2,FALSE)*'DGNB LCA Results'!$N$3+
                                                                  VLOOKUP(CONCATENATE('DGNB LCA Results'!$K$3,"_",Q383), $A$2:$P$352,2,FALSE)*'DGNB LCA Results'!$L$3+
                                                                  VLOOKUP(CONCATENATE('DGNB LCA Results'!$I$3,"_",Q383), $A$2:$P$352,2,FALSE)*'DGNB LCA Results'!$J$3+
                                                                  VLOOKUP(CONCATENATE('DGNB LCA Results'!$G$3,"_",Q383), $A$2:$P$352,2,FALSE)*'DGNB LCA Results'!$H$3,
IF('DGNB LCA Results'!$P$4=3,VLOOKUP(CONCATENATE('DGNB LCA Results'!$M$3,"_",Q383), $A$2:$P$352,2,FALSE)*'DGNB LCA Results'!$N$3+
                                                                VLOOKUP(CONCATENATE('DGNB LCA Results'!$K$3,"_",Q383), $A$2:$P$352,2,FALSE)*'DGNB LCA Results'!$L$3+
                                                                VLOOKUP(CONCATENATE('DGNB LCA Results'!$I$3,"_",Q383),$A$2:$P$352,2,FALSE)*'DGNB LCA Results'!$J$3,
IF('DGNB LCA Results'!$P$4=2,VLOOKUP(CONCATENATE('DGNB LCA Results'!$M$3,"_",Q383), $A$2:$P$352,2,FALSE)*'DGNB LCA Results'!$N$3+
                                                                 VLOOKUP(CONCATENATE('DGNB LCA Results'!$K$3,"_",Q383),$A$2:$P$352,2,FALSE)*'DGNB LCA Results'!$L$3,
IF('DGNB LCA Results'!$P$4=1,VLOOKUP(CONCATENATE('DGNB LCA Results'!$M$3,"_",Q383), $A$2:$P$352,2,FALSE)*'DGNB LCA Results'!$N$3,0))))</f>
        <v>0</v>
      </c>
      <c r="C383" s="49">
        <f>IF('DGNB LCA Results'!$P$4=4,VLOOKUP(CONCATENATE('DGNB LCA Results'!$M$3,"_",Q383), $A$2:$P$352,3,FALSE)*'DGNB LCA Results'!$N$3+
                                                                  VLOOKUP(CONCATENATE('DGNB LCA Results'!$K$3,"_",Q383), $A$2:$P$352,3,FALSE)*'DGNB LCA Results'!$L$3+
                                                                  VLOOKUP(CONCATENATE('DGNB LCA Results'!$I$3,"_",Q383), $A$2:$P$352,3,FALSE)*'DGNB LCA Results'!$J$3+
                                                                  VLOOKUP(CONCATENATE('DGNB LCA Results'!$G$3,"_",Q383), $A$2:$P$352,3,FALSE)*'DGNB LCA Results'!$H$3,
IF('DGNB LCA Results'!$P$4=3,VLOOKUP(CONCATENATE('DGNB LCA Results'!$M$3,"_",Q383), $A$2:$P$352,3,FALSE)*'DGNB LCA Results'!$N$3+
                                                                VLOOKUP(CONCATENATE('DGNB LCA Results'!$K$3,"_",Q383), $A$2:$P$352,3,FALSE)*'DGNB LCA Results'!$L$3+
                                                                VLOOKUP(CONCATENATE('DGNB LCA Results'!$I$3,"_",Q383),$A$2:$P$352,3,FALSE)*'DGNB LCA Results'!$J$3,
IF('DGNB LCA Results'!$P$4=2,VLOOKUP(CONCATENATE('DGNB LCA Results'!$M$3,"_",Q383), $A$2:$P$352,3,FALSE)*'DGNB LCA Results'!$N$3+
                                                                 VLOOKUP(CONCATENATE('DGNB LCA Results'!$K$3,"_",Q383),$A$2:$P$352,3,FALSE)*'DGNB LCA Results'!$L$3,
IF('DGNB LCA Results'!$P$4=1,VLOOKUP(CONCATENATE('DGNB LCA Results'!$M$3,"_",Q383), $A$2:$P$352,3,FALSE)*'DGNB LCA Results'!$N$3,0))))</f>
        <v>0</v>
      </c>
      <c r="D383" s="49">
        <f>IF('DGNB LCA Results'!$P$4=4,VLOOKUP(CONCATENATE('DGNB LCA Results'!$M$3,"_",Q383), $A$2:$P$352,4,FALSE)*'DGNB LCA Results'!$N$3+
                                                                  VLOOKUP(CONCATENATE('DGNB LCA Results'!$K$3,"_",Q383), $A$2:$P$352,4,FALSE)*'DGNB LCA Results'!$L$3+
                                                                  VLOOKUP(CONCATENATE('DGNB LCA Results'!$I$3,"_",Q383), $A$2:$P$352,4,FALSE)*'DGNB LCA Results'!$J$3+
                                                                  VLOOKUP(CONCATENATE('DGNB LCA Results'!$G$3,"_",Q383), $A$2:$P$352,4,FALSE)*'DGNB LCA Results'!$H$3,
IF('DGNB LCA Results'!$P$4=3,VLOOKUP(CONCATENATE('DGNB LCA Results'!$M$3,"_",Q383), $A$2:$P$352,4,FALSE)*'DGNB LCA Results'!$N$3+
                                                                VLOOKUP(CONCATENATE('DGNB LCA Results'!$K$3,"_",Q383), $A$2:$P$352,4,FALSE)*'DGNB LCA Results'!$L$3+
                                                                VLOOKUP(CONCATENATE('DGNB LCA Results'!$I$3,"_",Q383),$A$2:$P$352,4,FALSE)*'DGNB LCA Results'!$J$3,
IF('DGNB LCA Results'!$P$4=2,VLOOKUP(CONCATENATE('DGNB LCA Results'!$M$3,"_",Q383), $A$2:$P$352,4,FALSE)*'DGNB LCA Results'!$N$3+
                                                                 VLOOKUP(CONCATENATE('DGNB LCA Results'!$K$3,"_",Q383),$A$2:$P$352,4,FALSE)*'DGNB LCA Results'!$L$3,
IF('DGNB LCA Results'!$P$4=1,VLOOKUP(CONCATENATE('DGNB LCA Results'!$M$3,"_",Q383), $A$2:$P$352,4,FALSE)*'DGNB LCA Results'!$N$3,0))))</f>
        <v>0</v>
      </c>
      <c r="E383" s="120">
        <f>IF('DGNB LCA Results'!$P$4=4,VLOOKUP(CONCATENATE('DGNB LCA Results'!$M$3,"_",Q383), $A$2:$P$352,5,FALSE)*'DGNB LCA Results'!$N$3+
                                                                  VLOOKUP(CONCATENATE('DGNB LCA Results'!$K$3,"_",Q383), $A$2:$P$352,5,FALSE)*'DGNB LCA Results'!$L$3+
                                                                  VLOOKUP(CONCATENATE('DGNB LCA Results'!$I$3,"_",Q383), $A$2:$P$352,5,FALSE)*'DGNB LCA Results'!$J$3+
                                                                  VLOOKUP(CONCATENATE('DGNB LCA Results'!$G$3,"_",Q383), $A$2:$P$352,5,FALSE)*'DGNB LCA Results'!$H$3,
IF('DGNB LCA Results'!$P$4=3,VLOOKUP(CONCATENATE('DGNB LCA Results'!$M$3,"_",Q383), $A$2:$P$352,5,FALSE)*'DGNB LCA Results'!$N$3+
                                                                VLOOKUP(CONCATENATE('DGNB LCA Results'!$K$3,"_",Q383), $A$2:$P$352,5,FALSE)*'DGNB LCA Results'!$L$3+
                                                                VLOOKUP(CONCATENATE('DGNB LCA Results'!$I$3,"_",Q383),$A$2:$P$352,5,FALSE)*'DGNB LCA Results'!$J$3,
IF('DGNB LCA Results'!$P$4=2,VLOOKUP(CONCATENATE('DGNB LCA Results'!$M$3,"_",Q383), $A$2:$P$352,5,FALSE)*'DGNB LCA Results'!$N$3+
                                                                 VLOOKUP(CONCATENATE('DGNB LCA Results'!$K$3,"_",Q383),$A$2:$P$352,5,FALSE)*'DGNB LCA Results'!$L$3,
IF('DGNB LCA Results'!$P$4=1,VLOOKUP(CONCATENATE('DGNB LCA Results'!$M$3,"_",Q383), $A$2:$P$352,5,FALSE)*'DGNB LCA Results'!$N$3,0))))</f>
        <v>0</v>
      </c>
      <c r="F383" s="47">
        <f>IF('DGNB LCA Results'!$P$4=4,VLOOKUP(CONCATENATE('DGNB LCA Results'!$M$3,"_",Q383), $A$2:$P$352,6,FALSE)*'DGNB LCA Results'!$N$3+
                                                                  VLOOKUP(CONCATENATE('DGNB LCA Results'!$K$3,"_",Q383), $A$2:$P$352,6,FALSE)*'DGNB LCA Results'!$L$3+
                                                                  VLOOKUP(CONCATENATE('DGNB LCA Results'!$I$3,"_",Q383), $A$2:$P$352,6,FALSE)*'DGNB LCA Results'!$J$3+
                                                                  VLOOKUP(CONCATENATE('DGNB LCA Results'!$G$3,"_",Q383), $A$2:$P$352,6,FALSE)*'DGNB LCA Results'!$H$3,
IF('DGNB LCA Results'!$P$4=3,VLOOKUP(CONCATENATE('DGNB LCA Results'!$M$3,"_",Q383), $A$2:$P$352,6,FALSE)*'DGNB LCA Results'!$N$3+
                                                                VLOOKUP(CONCATENATE('DGNB LCA Results'!$K$3,"_",Q383), $A$2:$P$352,6,FALSE)*'DGNB LCA Results'!$L$3+
                                                                VLOOKUP(CONCATENATE('DGNB LCA Results'!$I$3,"_",Q383),$A$2:$P$352,6,FALSE)*'DGNB LCA Results'!$J$3,
IF('DGNB LCA Results'!$P$4=2,VLOOKUP(CONCATENATE('DGNB LCA Results'!$M$3,"_",Q383), $A$2:$P$352,6,FALSE)*'DGNB LCA Results'!$N$3+
                                                                 VLOOKUP(CONCATENATE('DGNB LCA Results'!$K$3,"_",Q383),$A$2:$P$352,6,FALSE)*'DGNB LCA Results'!$L$3,
IF('DGNB LCA Results'!$P$4=1,VLOOKUP(CONCATENATE('DGNB LCA Results'!$M$3,"_",Q383), $A$2:$P$352,6,FALSE)*'DGNB LCA Results'!$N$3,0))))</f>
        <v>0</v>
      </c>
      <c r="G383" s="121">
        <f>IF('DGNB LCA Results'!$P$4=4,VLOOKUP(CONCATENATE('DGNB LCA Results'!$M$3,"_",Q383), $A$2:$P$352,7,FALSE)*'DGNB LCA Results'!$N$3+
                                                                  VLOOKUP(CONCATENATE('DGNB LCA Results'!$K$3,"_",Q383), $A$2:$P$352,7,FALSE)*'DGNB LCA Results'!$L$3+
                                                                  VLOOKUP(CONCATENATE('DGNB LCA Results'!$I$3,"_",Q383), $A$2:$P$352,7,FALSE)*'DGNB LCA Results'!$J$3+
                                                                  VLOOKUP(CONCATENATE('DGNB LCA Results'!$G$3,"_",Q383), $A$2:$P$352,7,FALSE)*'DGNB LCA Results'!$H$3,
IF('DGNB LCA Results'!$P$4=3,VLOOKUP(CONCATENATE('DGNB LCA Results'!$M$3,"_",Q383), $A$2:$P$352,7,FALSE)*'DGNB LCA Results'!$N$3+
                                                                VLOOKUP(CONCATENATE('DGNB LCA Results'!$K$3,"_",Q383), $A$2:$P$352,7,FALSE)*'DGNB LCA Results'!$L$3+
                                                                VLOOKUP(CONCATENATE('DGNB LCA Results'!$I$3,"_",Q383),$A$2:$P$352,7,FALSE)*'DGNB LCA Results'!$J$3,
IF('DGNB LCA Results'!$P$4=2,VLOOKUP(CONCATENATE('DGNB LCA Results'!$M$3,"_",Q383), $A$2:$P$352,7,FALSE)*'DGNB LCA Results'!$N$3+
                                                                 VLOOKUP(CONCATENATE('DGNB LCA Results'!$K$3,"_",Q383),$A$2:$P$352,7,FALSE)*'DGNB LCA Results'!$L$3,
IF('DGNB LCA Results'!$P$4=1,VLOOKUP(CONCATENATE('DGNB LCA Results'!$M$3,"_",Q383), $A$2:$P$352,7,FALSE)*'DGNB LCA Results'!$N$3,0))))</f>
        <v>0</v>
      </c>
      <c r="H383" s="120">
        <f>IF('DGNB LCA Results'!$P$4=4,VLOOKUP(CONCATENATE('DGNB LCA Results'!$M$3,"_",Q383), $A$2:$P$352,8,FALSE)*'DGNB LCA Results'!$N$3+
                                                                  VLOOKUP(CONCATENATE('DGNB LCA Results'!$K$3,"_",Q383), $A$2:$P$352,8,FALSE)*'DGNB LCA Results'!$L$3+
                                                                  VLOOKUP(CONCATENATE('DGNB LCA Results'!$I$3,"_",Q383), $A$2:$P$352,8,FALSE)*'DGNB LCA Results'!$J$3+
                                                                  VLOOKUP(CONCATENATE('DGNB LCA Results'!$G$3,"_",Q383), $A$2:$P$352,8,FALSE)*'DGNB LCA Results'!$H$3,
IF('DGNB LCA Results'!$P$4=3,VLOOKUP(CONCATENATE('DGNB LCA Results'!$M$3,"_",Q383), $A$2:$P$352,8,FALSE)*'DGNB LCA Results'!$N$3+
                                                                VLOOKUP(CONCATENATE('DGNB LCA Results'!$K$3,"_",Q383), $A$2:$P$352,8,FALSE)*'DGNB LCA Results'!$L$3+
                                                                VLOOKUP(CONCATENATE('DGNB LCA Results'!$I$3,"_",Q383),$A$2:$P$352,8,FALSE)*'DGNB LCA Results'!$J$3,
IF('DGNB LCA Results'!$P$4=2,VLOOKUP(CONCATENATE('DGNB LCA Results'!$M$3,"_",Q383), $A$2:$P$352,8,FALSE)*'DGNB LCA Results'!$N$3+
                                                                 VLOOKUP(CONCATENATE('DGNB LCA Results'!$K$3,"_",Q383),$A$2:$P$352,8,FALSE)*'DGNB LCA Results'!$L$3,
IF('DGNB LCA Results'!$P$4=1,VLOOKUP(CONCATENATE('DGNB LCA Results'!$M$3,"_",Q383), $A$2:$P$352,8,FALSE)*'DGNB LCA Results'!$N$3,0))))</f>
        <v>0</v>
      </c>
      <c r="I383" s="47">
        <f>IF('DGNB LCA Results'!$P$4=4,VLOOKUP(CONCATENATE('DGNB LCA Results'!$M$3,"_",Q383), $A$2:$P$352,9,FALSE)*'DGNB LCA Results'!$N$3+
                                                                  VLOOKUP(CONCATENATE('DGNB LCA Results'!$K$3,"_",Q383), $A$2:$P$352,9,FALSE)*'DGNB LCA Results'!$L$3+
                                                                  VLOOKUP(CONCATENATE('DGNB LCA Results'!$I$3,"_",Q383), $A$2:$P$352,9,FALSE)*'DGNB LCA Results'!$J$3+
                                                                  VLOOKUP(CONCATENATE('DGNB LCA Results'!$G$3,"_",Q383), $A$2:$P$352,9,FALSE)*'DGNB LCA Results'!$H$3,
IF('DGNB LCA Results'!$P$4=3,VLOOKUP(CONCATENATE('DGNB LCA Results'!$M$3,"_",Q383), $A$2:$P$352,9,FALSE)*'DGNB LCA Results'!$N$3+
                                                                VLOOKUP(CONCATENATE('DGNB LCA Results'!$K$3,"_",Q383), $A$2:$P$352,9,FALSE)*'DGNB LCA Results'!$L$3+
                                                                VLOOKUP(CONCATENATE('DGNB LCA Results'!$I$3,"_",Q383),$A$2:$P$352,9,FALSE)*'DGNB LCA Results'!$J$3,
IF('DGNB LCA Results'!$P$4=2,VLOOKUP(CONCATENATE('DGNB LCA Results'!$M$3,"_",Q383), $A$2:$P$352,9,FALSE)*'DGNB LCA Results'!$N$3+
                                                                 VLOOKUP(CONCATENATE('DGNB LCA Results'!$K$3,"_",Q383),$A$2:$P$352,9,FALSE)*'DGNB LCA Results'!$L$3,
IF('DGNB LCA Results'!$P$4=1,VLOOKUP(CONCATENATE('DGNB LCA Results'!$M$3,"_",Q383), $A$2:$P$352,9,FALSE)*'DGNB LCA Results'!$N$3,0))))</f>
        <v>0</v>
      </c>
      <c r="J383" s="121">
        <f>IF('DGNB LCA Results'!$P$4=4,VLOOKUP(CONCATENATE('DGNB LCA Results'!$M$3,"_",Q383), $A$2:$P$352,10,FALSE)*'DGNB LCA Results'!$N$3+
                                                                  VLOOKUP(CONCATENATE('DGNB LCA Results'!$K$3,"_",Q383), $A$2:$P$352,10,FALSE)*'DGNB LCA Results'!$L$3+
                                                                  VLOOKUP(CONCATENATE('DGNB LCA Results'!$I$3,"_",Q383), $A$2:$P$352,10,FALSE)*'DGNB LCA Results'!$J$3+
                                                                  VLOOKUP(CONCATENATE('DGNB LCA Results'!$G$3,"_",Q383), $A$2:$P$352,10,FALSE)*'DGNB LCA Results'!$H$3,
IF('DGNB LCA Results'!$P$4=3,VLOOKUP(CONCATENATE('DGNB LCA Results'!$M$3,"_",Q383), $A$2:$P$352,10,FALSE)*'DGNB LCA Results'!$N$3+
                                                                VLOOKUP(CONCATENATE('DGNB LCA Results'!$K$3,"_",Q383), $A$2:$P$352,10,FALSE)*'DGNB LCA Results'!$L$3+
                                                                VLOOKUP(CONCATENATE('DGNB LCA Results'!$I$3,"_",Q383),$A$2:$P$352,10,FALSE)*'DGNB LCA Results'!$J$3,
IF('DGNB LCA Results'!$P$4=2,VLOOKUP(CONCATENATE('DGNB LCA Results'!$M$3,"_",Q383), $A$2:$P$352,10,FALSE)*'DGNB LCA Results'!$N$3+
                                                                 VLOOKUP(CONCATENATE('DGNB LCA Results'!$K$3,"_",Q383),$A$2:$P$352,10,FALSE)*'DGNB LCA Results'!$L$3,
IF('DGNB LCA Results'!$P$4=1,VLOOKUP(CONCATENATE('DGNB LCA Results'!$M$3,"_",Q383), $A$2:$P$352,10,FALSE)*'DGNB LCA Results'!$N$3,0))))</f>
        <v>0</v>
      </c>
      <c r="K383" s="120">
        <f>IF('DGNB LCA Results'!$P$4=4,VLOOKUP(CONCATENATE('DGNB LCA Results'!$M$3,"_",Q383), $A$2:$P$352,11,FALSE)*'DGNB LCA Results'!$N$3+
                                                                  VLOOKUP(CONCATENATE('DGNB LCA Results'!$K$3,"_",Q383), $A$2:$P$352,11,FALSE)*'DGNB LCA Results'!$L$3+
                                                                  VLOOKUP(CONCATENATE('DGNB LCA Results'!$I$3,"_",Q383), $A$2:$P$352,11,FALSE)*'DGNB LCA Results'!$J$3+
                                                                  VLOOKUP(CONCATENATE('DGNB LCA Results'!$G$3,"_",Q383), $A$2:$P$352,11,FALSE)*'DGNB LCA Results'!$H$3,
IF('DGNB LCA Results'!$P$4=3,VLOOKUP(CONCATENATE('DGNB LCA Results'!$M$3,"_",Q383), $A$2:$P$352,11,FALSE)*'DGNB LCA Results'!$N$3+
                                                                VLOOKUP(CONCATENATE('DGNB LCA Results'!$K$3,"_",Q383), $A$2:$P$352,11,FALSE)*'DGNB LCA Results'!$L$3+
                                                                VLOOKUP(CONCATENATE('DGNB LCA Results'!$I$3,"_",Q383),$A$2:$P$352,11,FALSE)*'DGNB LCA Results'!$J$3,
IF('DGNB LCA Results'!$P$4=2,VLOOKUP(CONCATENATE('DGNB LCA Results'!$M$3,"_",Q383), $A$2:$P$352,11,FALSE)*'DGNB LCA Results'!$N$3+
                                                                 VLOOKUP(CONCATENATE('DGNB LCA Results'!$K$3,"_",Q383),$A$2:$P$352,11,FALSE)*'DGNB LCA Results'!$L$3,
IF('DGNB LCA Results'!$P$4=1,VLOOKUP(CONCATENATE('DGNB LCA Results'!$M$3,"_",Q383), $A$2:$P$352,11,FALSE)*'DGNB LCA Results'!$N$3,0))))</f>
        <v>0</v>
      </c>
      <c r="L383" s="47">
        <f>IF('DGNB LCA Results'!$P$4=4,VLOOKUP(CONCATENATE('DGNB LCA Results'!$M$3,"_",Q383), $A$2:$P$352,12,FALSE)*'DGNB LCA Results'!$N$3+
                                                                  VLOOKUP(CONCATENATE('DGNB LCA Results'!$K$3,"_",Q383), $A$2:$P$352,12,FALSE)*'DGNB LCA Results'!$L$3+
                                                                  VLOOKUP(CONCATENATE('DGNB LCA Results'!$I$3,"_",Q383), $A$2:$P$352,12,FALSE)*'DGNB LCA Results'!$J$3+
                                                                  VLOOKUP(CONCATENATE('DGNB LCA Results'!$G$3,"_",Q383), $A$2:$P$352,12,FALSE)*'DGNB LCA Results'!$H$3,
IF('DGNB LCA Results'!$P$4=3,VLOOKUP(CONCATENATE('DGNB LCA Results'!$M$3,"_",Q383), $A$2:$P$352,12,FALSE)*'DGNB LCA Results'!$N$3+
                                                                VLOOKUP(CONCATENATE('DGNB LCA Results'!$K$3,"_",Q383), $A$2:$P$352,12,FALSE)*'DGNB LCA Results'!$L$3+
                                                                VLOOKUP(CONCATENATE('DGNB LCA Results'!$I$3,"_",Q383),$A$2:$P$352,12,FALSE)*'DGNB LCA Results'!$J$3,
IF('DGNB LCA Results'!$P$4=2,VLOOKUP(CONCATENATE('DGNB LCA Results'!$M$3,"_",Q383), $A$2:$P$352,12,FALSE)*'DGNB LCA Results'!$N$3+
                                                                 VLOOKUP(CONCATENATE('DGNB LCA Results'!$K$3,"_",Q383),$A$2:$P$352,12,FALSE)*'DGNB LCA Results'!$L$3,
IF('DGNB LCA Results'!$P$4=1,VLOOKUP(CONCATENATE('DGNB LCA Results'!$M$3,"_",Q383), $A$2:$P$352,12,FALSE)*'DGNB LCA Results'!$N$3,0))))</f>
        <v>0</v>
      </c>
      <c r="M383" s="121">
        <f>IF('DGNB LCA Results'!$P$4=4,VLOOKUP(CONCATENATE('DGNB LCA Results'!$M$3,"_",Q383), $A$2:$P$352,13,FALSE)*'DGNB LCA Results'!$N$3+
                                                                  VLOOKUP(CONCATENATE('DGNB LCA Results'!$K$3,"_",Q383), $A$2:$P$352,13,FALSE)*'DGNB LCA Results'!$L$3+
                                                                  VLOOKUP(CONCATENATE('DGNB LCA Results'!$I$3,"_",Q383), $A$2:$P$352,13,FALSE)*'DGNB LCA Results'!$J$3+
                                                                  VLOOKUP(CONCATENATE('DGNB LCA Results'!$G$3,"_",Q383), $A$2:$P$352,13,FALSE)*'DGNB LCA Results'!$H$3,
IF('DGNB LCA Results'!$P$4=3,VLOOKUP(CONCATENATE('DGNB LCA Results'!$M$3,"_",Q383), $A$2:$P$352,13,FALSE)*'DGNB LCA Results'!$N$3+
                                                                VLOOKUP(CONCATENATE('DGNB LCA Results'!$K$3,"_",Q383), $A$2:$P$352,13,FALSE)*'DGNB LCA Results'!$L$3+
                                                                VLOOKUP(CONCATENATE('DGNB LCA Results'!$I$3,"_",Q383),$A$2:$P$352,13,FALSE)*'DGNB LCA Results'!$J$3,
IF('DGNB LCA Results'!$P$4=2,VLOOKUP(CONCATENATE('DGNB LCA Results'!$M$3,"_",Q383), $A$2:$P$352,13,FALSE)*'DGNB LCA Results'!$N$3+
                                                                 VLOOKUP(CONCATENATE('DGNB LCA Results'!$K$3,"_",Q383),$A$2:$P$352,13,FALSE)*'DGNB LCA Results'!$L$3,
IF('DGNB LCA Results'!$P$4=1,VLOOKUP(CONCATENATE('DGNB LCA Results'!$M$3,"_",Q383), $A$2:$P$352,13,FALSE)*'DGNB LCA Results'!$N$3,0))))</f>
        <v>0</v>
      </c>
      <c r="N383" s="120">
        <f>IF('DGNB LCA Results'!$P$4=4,VLOOKUP(CONCATENATE('DGNB LCA Results'!$M$3,"_",Q383), $A$2:$P$352,14,FALSE)*'DGNB LCA Results'!$N$3+
                                                                  VLOOKUP(CONCATENATE('DGNB LCA Results'!$K$3,"_",Q383), $A$2:$P$352,14,FALSE)*'DGNB LCA Results'!$L$3+
                                                                  VLOOKUP(CONCATENATE('DGNB LCA Results'!$I$3,"_",Q383), $A$2:$P$352,14,FALSE)*'DGNB LCA Results'!$J$3+
                                                                  VLOOKUP(CONCATENATE('DGNB LCA Results'!$G$3,"_",Q383), $A$2:$P$352,14,FALSE)*'DGNB LCA Results'!$H$3,
IF('DGNB LCA Results'!$P$4=3,VLOOKUP(CONCATENATE('DGNB LCA Results'!$M$3,"_",Q383), $A$2:$P$352,14,FALSE)*'DGNB LCA Results'!$N$3+
                                                                VLOOKUP(CONCATENATE('DGNB LCA Results'!$K$3,"_",Q383), $A$2:$P$352,14,FALSE)*'DGNB LCA Results'!$L$3+
                                                                VLOOKUP(CONCATENATE('DGNB LCA Results'!$I$3,"_",Q383),$A$2:$P$352,14,FALSE)*'DGNB LCA Results'!$J$3,
IF('DGNB LCA Results'!$P$4=2,VLOOKUP(CONCATENATE('DGNB LCA Results'!$M$3,"_",Q383), $A$2:$P$352,14,FALSE)*'DGNB LCA Results'!$N$3+
                                                                 VLOOKUP(CONCATENATE('DGNB LCA Results'!$K$3,"_",Q383),$A$2:$P$352,14,FALSE)*'DGNB LCA Results'!$L$3,
IF('DGNB LCA Results'!$P$4=1,VLOOKUP(CONCATENATE('DGNB LCA Results'!$M$3,"_",Q383), $A$2:$P$352,14,FALSE)*'DGNB LCA Results'!$N$3,0))))</f>
        <v>0</v>
      </c>
      <c r="O383" s="47">
        <f>IF('DGNB LCA Results'!$P$4=4,VLOOKUP(CONCATENATE('DGNB LCA Results'!$M$3,"_",Q383), $A$2:$P$352,15,FALSE)*'DGNB LCA Results'!$N$3+
                                                                  VLOOKUP(CONCATENATE('DGNB LCA Results'!$K$3,"_",Q383), $A$2:$P$352,15,FALSE)*'DGNB LCA Results'!$L$3+
                                                                  VLOOKUP(CONCATENATE('DGNB LCA Results'!$I$3,"_",Q383), $A$2:$P$352,15,FALSE)*'DGNB LCA Results'!$J$3+
                                                                  VLOOKUP(CONCATENATE('DGNB LCA Results'!$G$3,"_",Q383), $A$2:$P$352,15,FALSE)*'DGNB LCA Results'!$H$3,
IF('DGNB LCA Results'!$P$4=3,VLOOKUP(CONCATENATE('DGNB LCA Results'!$M$3,"_",Q383), $A$2:$P$352,15,FALSE)*'DGNB LCA Results'!$N$3+
                                                                VLOOKUP(CONCATENATE('DGNB LCA Results'!$K$3,"_",Q383), $A$2:$P$352,15,FALSE)*'DGNB LCA Results'!$L$3+
                                                                VLOOKUP(CONCATENATE('DGNB LCA Results'!$I$3,"_",Q383),$A$2:$P$352,15,FALSE)*'DGNB LCA Results'!$J$3,
IF('DGNB LCA Results'!$P$4=2,VLOOKUP(CONCATENATE('DGNB LCA Results'!$M$3,"_",Q383), $A$2:$P$352,15,FALSE)*'DGNB LCA Results'!$N$3+
                                                                 VLOOKUP(CONCATENATE('DGNB LCA Results'!$K$3,"_",Q383),$A$2:$P$352,15,FALSE)*'DGNB LCA Results'!$L$3,
IF('DGNB LCA Results'!$P$4=1,VLOOKUP(CONCATENATE('DGNB LCA Results'!$M$3,"_",Q383), $A$2:$P$352,15,FALSE)*'DGNB LCA Results'!$N$3,0))))</f>
        <v>0</v>
      </c>
      <c r="P383" s="121">
        <f>IF('DGNB LCA Results'!$P$4=4,VLOOKUP(CONCATENATE('DGNB LCA Results'!$M$3,"_",Q383), $A$2:$P$352,16,FALSE)*'DGNB LCA Results'!$N$3+
                                                                  VLOOKUP(CONCATENATE('DGNB LCA Results'!$K$3,"_",Q383), $A$2:$P$352,16,FALSE)*'DGNB LCA Results'!$L$3+
                                                                  VLOOKUP(CONCATENATE('DGNB LCA Results'!$I$3,"_",Q383), $A$2:$P$352,16,FALSE)*'DGNB LCA Results'!$J$3+
                                                                  VLOOKUP(CONCATENATE('DGNB LCA Results'!$G$3,"_",Q383), $A$2:$P$352,16,FALSE)*'DGNB LCA Results'!$H$3,
IF('DGNB LCA Results'!$P$4=3,VLOOKUP(CONCATENATE('DGNB LCA Results'!$M$3,"_",Q383), $A$2:$P$352,16,FALSE)*'DGNB LCA Results'!$N$3+
                                                                VLOOKUP(CONCATENATE('DGNB LCA Results'!$K$3,"_",Q383), $A$2:$P$352,16,FALSE)*'DGNB LCA Results'!$L$3+
                                                                VLOOKUP(CONCATENATE('DGNB LCA Results'!$I$3,"_",Q383),$A$2:$P$352,16,FALSE)*'DGNB LCA Results'!$J$3,
IF('DGNB LCA Results'!$P$4=2,VLOOKUP(CONCATENATE('DGNB LCA Results'!$M$3,"_",Q383), $A$2:$P$352,16,FALSE)*'DGNB LCA Results'!$N$3+
                                                                 VLOOKUP(CONCATENATE('DGNB LCA Results'!$K$3,"_",Q383),$A$2:$P$352,16,FALSE)*'DGNB LCA Results'!$L$3,
IF('DGNB LCA Results'!$P$4=1,VLOOKUP(CONCATENATE('DGNB LCA Results'!$M$3,"_",Q383), $A$2:$P$352,16,FALSE)*'DGNB LCA Results'!$N$3,0))))</f>
        <v>0</v>
      </c>
      <c r="Q383">
        <v>70</v>
      </c>
      <c r="R383" t="s">
        <v>194</v>
      </c>
    </row>
    <row r="384" spans="1:18" x14ac:dyDescent="0.2">
      <c r="A384" t="str">
        <f t="shared" si="8"/>
        <v>MIX15_75</v>
      </c>
      <c r="B384" s="120">
        <f>IF('DGNB LCA Results'!$P$4=4,VLOOKUP(CONCATENATE('DGNB LCA Results'!$M$3,"_",Q384), $A$2:$P$352,2,FALSE)*'DGNB LCA Results'!$N$3+
                                                                  VLOOKUP(CONCATENATE('DGNB LCA Results'!$K$3,"_",Q384), $A$2:$P$352,2,FALSE)*'DGNB LCA Results'!$L$3+
                                                                  VLOOKUP(CONCATENATE('DGNB LCA Results'!$I$3,"_",Q384), $A$2:$P$352,2,FALSE)*'DGNB LCA Results'!$J$3+
                                                                  VLOOKUP(CONCATENATE('DGNB LCA Results'!$G$3,"_",Q384), $A$2:$P$352,2,FALSE)*'DGNB LCA Results'!$H$3,
IF('DGNB LCA Results'!$P$4=3,VLOOKUP(CONCATENATE('DGNB LCA Results'!$M$3,"_",Q384), $A$2:$P$352,2,FALSE)*'DGNB LCA Results'!$N$3+
                                                                VLOOKUP(CONCATENATE('DGNB LCA Results'!$K$3,"_",Q384), $A$2:$P$352,2,FALSE)*'DGNB LCA Results'!$L$3+
                                                                VLOOKUP(CONCATENATE('DGNB LCA Results'!$I$3,"_",Q384),$A$2:$P$352,2,FALSE)*'DGNB LCA Results'!$J$3,
IF('DGNB LCA Results'!$P$4=2,VLOOKUP(CONCATENATE('DGNB LCA Results'!$M$3,"_",Q384), $A$2:$P$352,2,FALSE)*'DGNB LCA Results'!$N$3+
                                                                 VLOOKUP(CONCATENATE('DGNB LCA Results'!$K$3,"_",Q384),$A$2:$P$352,2,FALSE)*'DGNB LCA Results'!$L$3,
IF('DGNB LCA Results'!$P$4=1,VLOOKUP(CONCATENATE('DGNB LCA Results'!$M$3,"_",Q384), $A$2:$P$352,2,FALSE)*'DGNB LCA Results'!$N$3,0))))</f>
        <v>0</v>
      </c>
      <c r="C384" s="49">
        <f>IF('DGNB LCA Results'!$P$4=4,VLOOKUP(CONCATENATE('DGNB LCA Results'!$M$3,"_",Q384), $A$2:$P$352,3,FALSE)*'DGNB LCA Results'!$N$3+
                                                                  VLOOKUP(CONCATENATE('DGNB LCA Results'!$K$3,"_",Q384), $A$2:$P$352,3,FALSE)*'DGNB LCA Results'!$L$3+
                                                                  VLOOKUP(CONCATENATE('DGNB LCA Results'!$I$3,"_",Q384), $A$2:$P$352,3,FALSE)*'DGNB LCA Results'!$J$3+
                                                                  VLOOKUP(CONCATENATE('DGNB LCA Results'!$G$3,"_",Q384), $A$2:$P$352,3,FALSE)*'DGNB LCA Results'!$H$3,
IF('DGNB LCA Results'!$P$4=3,VLOOKUP(CONCATENATE('DGNB LCA Results'!$M$3,"_",Q384), $A$2:$P$352,3,FALSE)*'DGNB LCA Results'!$N$3+
                                                                VLOOKUP(CONCATENATE('DGNB LCA Results'!$K$3,"_",Q384), $A$2:$P$352,3,FALSE)*'DGNB LCA Results'!$L$3+
                                                                VLOOKUP(CONCATENATE('DGNB LCA Results'!$I$3,"_",Q384),$A$2:$P$352,3,FALSE)*'DGNB LCA Results'!$J$3,
IF('DGNB LCA Results'!$P$4=2,VLOOKUP(CONCATENATE('DGNB LCA Results'!$M$3,"_",Q384), $A$2:$P$352,3,FALSE)*'DGNB LCA Results'!$N$3+
                                                                 VLOOKUP(CONCATENATE('DGNB LCA Results'!$K$3,"_",Q384),$A$2:$P$352,3,FALSE)*'DGNB LCA Results'!$L$3,
IF('DGNB LCA Results'!$P$4=1,VLOOKUP(CONCATENATE('DGNB LCA Results'!$M$3,"_",Q384), $A$2:$P$352,3,FALSE)*'DGNB LCA Results'!$N$3,0))))</f>
        <v>0</v>
      </c>
      <c r="D384" s="49">
        <f>IF('DGNB LCA Results'!$P$4=4,VLOOKUP(CONCATENATE('DGNB LCA Results'!$M$3,"_",Q384), $A$2:$P$352,4,FALSE)*'DGNB LCA Results'!$N$3+
                                                                  VLOOKUP(CONCATENATE('DGNB LCA Results'!$K$3,"_",Q384), $A$2:$P$352,4,FALSE)*'DGNB LCA Results'!$L$3+
                                                                  VLOOKUP(CONCATENATE('DGNB LCA Results'!$I$3,"_",Q384), $A$2:$P$352,4,FALSE)*'DGNB LCA Results'!$J$3+
                                                                  VLOOKUP(CONCATENATE('DGNB LCA Results'!$G$3,"_",Q384), $A$2:$P$352,4,FALSE)*'DGNB LCA Results'!$H$3,
IF('DGNB LCA Results'!$P$4=3,VLOOKUP(CONCATENATE('DGNB LCA Results'!$M$3,"_",Q384), $A$2:$P$352,4,FALSE)*'DGNB LCA Results'!$N$3+
                                                                VLOOKUP(CONCATENATE('DGNB LCA Results'!$K$3,"_",Q384), $A$2:$P$352,4,FALSE)*'DGNB LCA Results'!$L$3+
                                                                VLOOKUP(CONCATENATE('DGNB LCA Results'!$I$3,"_",Q384),$A$2:$P$352,4,FALSE)*'DGNB LCA Results'!$J$3,
IF('DGNB LCA Results'!$P$4=2,VLOOKUP(CONCATENATE('DGNB LCA Results'!$M$3,"_",Q384), $A$2:$P$352,4,FALSE)*'DGNB LCA Results'!$N$3+
                                                                 VLOOKUP(CONCATENATE('DGNB LCA Results'!$K$3,"_",Q384),$A$2:$P$352,4,FALSE)*'DGNB LCA Results'!$L$3,
IF('DGNB LCA Results'!$P$4=1,VLOOKUP(CONCATENATE('DGNB LCA Results'!$M$3,"_",Q384), $A$2:$P$352,4,FALSE)*'DGNB LCA Results'!$N$3,0))))</f>
        <v>0</v>
      </c>
      <c r="E384" s="120">
        <f>IF('DGNB LCA Results'!$P$4=4,VLOOKUP(CONCATENATE('DGNB LCA Results'!$M$3,"_",Q384), $A$2:$P$352,5,FALSE)*'DGNB LCA Results'!$N$3+
                                                                  VLOOKUP(CONCATENATE('DGNB LCA Results'!$K$3,"_",Q384), $A$2:$P$352,5,FALSE)*'DGNB LCA Results'!$L$3+
                                                                  VLOOKUP(CONCATENATE('DGNB LCA Results'!$I$3,"_",Q384), $A$2:$P$352,5,FALSE)*'DGNB LCA Results'!$J$3+
                                                                  VLOOKUP(CONCATENATE('DGNB LCA Results'!$G$3,"_",Q384), $A$2:$P$352,5,FALSE)*'DGNB LCA Results'!$H$3,
IF('DGNB LCA Results'!$P$4=3,VLOOKUP(CONCATENATE('DGNB LCA Results'!$M$3,"_",Q384), $A$2:$P$352,5,FALSE)*'DGNB LCA Results'!$N$3+
                                                                VLOOKUP(CONCATENATE('DGNB LCA Results'!$K$3,"_",Q384), $A$2:$P$352,5,FALSE)*'DGNB LCA Results'!$L$3+
                                                                VLOOKUP(CONCATENATE('DGNB LCA Results'!$I$3,"_",Q384),$A$2:$P$352,5,FALSE)*'DGNB LCA Results'!$J$3,
IF('DGNB LCA Results'!$P$4=2,VLOOKUP(CONCATENATE('DGNB LCA Results'!$M$3,"_",Q384), $A$2:$P$352,5,FALSE)*'DGNB LCA Results'!$N$3+
                                                                 VLOOKUP(CONCATENATE('DGNB LCA Results'!$K$3,"_",Q384),$A$2:$P$352,5,FALSE)*'DGNB LCA Results'!$L$3,
IF('DGNB LCA Results'!$P$4=1,VLOOKUP(CONCATENATE('DGNB LCA Results'!$M$3,"_",Q384), $A$2:$P$352,5,FALSE)*'DGNB LCA Results'!$N$3,0))))</f>
        <v>0</v>
      </c>
      <c r="F384" s="47">
        <f>IF('DGNB LCA Results'!$P$4=4,VLOOKUP(CONCATENATE('DGNB LCA Results'!$M$3,"_",Q384), $A$2:$P$352,6,FALSE)*'DGNB LCA Results'!$N$3+
                                                                  VLOOKUP(CONCATENATE('DGNB LCA Results'!$K$3,"_",Q384), $A$2:$P$352,6,FALSE)*'DGNB LCA Results'!$L$3+
                                                                  VLOOKUP(CONCATENATE('DGNB LCA Results'!$I$3,"_",Q384), $A$2:$P$352,6,FALSE)*'DGNB LCA Results'!$J$3+
                                                                  VLOOKUP(CONCATENATE('DGNB LCA Results'!$G$3,"_",Q384), $A$2:$P$352,6,FALSE)*'DGNB LCA Results'!$H$3,
IF('DGNB LCA Results'!$P$4=3,VLOOKUP(CONCATENATE('DGNB LCA Results'!$M$3,"_",Q384), $A$2:$P$352,6,FALSE)*'DGNB LCA Results'!$N$3+
                                                                VLOOKUP(CONCATENATE('DGNB LCA Results'!$K$3,"_",Q384), $A$2:$P$352,6,FALSE)*'DGNB LCA Results'!$L$3+
                                                                VLOOKUP(CONCATENATE('DGNB LCA Results'!$I$3,"_",Q384),$A$2:$P$352,6,FALSE)*'DGNB LCA Results'!$J$3,
IF('DGNB LCA Results'!$P$4=2,VLOOKUP(CONCATENATE('DGNB LCA Results'!$M$3,"_",Q384), $A$2:$P$352,6,FALSE)*'DGNB LCA Results'!$N$3+
                                                                 VLOOKUP(CONCATENATE('DGNB LCA Results'!$K$3,"_",Q384),$A$2:$P$352,6,FALSE)*'DGNB LCA Results'!$L$3,
IF('DGNB LCA Results'!$P$4=1,VLOOKUP(CONCATENATE('DGNB LCA Results'!$M$3,"_",Q384), $A$2:$P$352,6,FALSE)*'DGNB LCA Results'!$N$3,0))))</f>
        <v>0</v>
      </c>
      <c r="G384" s="121">
        <f>IF('DGNB LCA Results'!$P$4=4,VLOOKUP(CONCATENATE('DGNB LCA Results'!$M$3,"_",Q384), $A$2:$P$352,7,FALSE)*'DGNB LCA Results'!$N$3+
                                                                  VLOOKUP(CONCATENATE('DGNB LCA Results'!$K$3,"_",Q384), $A$2:$P$352,7,FALSE)*'DGNB LCA Results'!$L$3+
                                                                  VLOOKUP(CONCATENATE('DGNB LCA Results'!$I$3,"_",Q384), $A$2:$P$352,7,FALSE)*'DGNB LCA Results'!$J$3+
                                                                  VLOOKUP(CONCATENATE('DGNB LCA Results'!$G$3,"_",Q384), $A$2:$P$352,7,FALSE)*'DGNB LCA Results'!$H$3,
IF('DGNB LCA Results'!$P$4=3,VLOOKUP(CONCATENATE('DGNB LCA Results'!$M$3,"_",Q384), $A$2:$P$352,7,FALSE)*'DGNB LCA Results'!$N$3+
                                                                VLOOKUP(CONCATENATE('DGNB LCA Results'!$K$3,"_",Q384), $A$2:$P$352,7,FALSE)*'DGNB LCA Results'!$L$3+
                                                                VLOOKUP(CONCATENATE('DGNB LCA Results'!$I$3,"_",Q384),$A$2:$P$352,7,FALSE)*'DGNB LCA Results'!$J$3,
IF('DGNB LCA Results'!$P$4=2,VLOOKUP(CONCATENATE('DGNB LCA Results'!$M$3,"_",Q384), $A$2:$P$352,7,FALSE)*'DGNB LCA Results'!$N$3+
                                                                 VLOOKUP(CONCATENATE('DGNB LCA Results'!$K$3,"_",Q384),$A$2:$P$352,7,FALSE)*'DGNB LCA Results'!$L$3,
IF('DGNB LCA Results'!$P$4=1,VLOOKUP(CONCATENATE('DGNB LCA Results'!$M$3,"_",Q384), $A$2:$P$352,7,FALSE)*'DGNB LCA Results'!$N$3,0))))</f>
        <v>0</v>
      </c>
      <c r="H384" s="120">
        <f>IF('DGNB LCA Results'!$P$4=4,VLOOKUP(CONCATENATE('DGNB LCA Results'!$M$3,"_",Q384), $A$2:$P$352,8,FALSE)*'DGNB LCA Results'!$N$3+
                                                                  VLOOKUP(CONCATENATE('DGNB LCA Results'!$K$3,"_",Q384), $A$2:$P$352,8,FALSE)*'DGNB LCA Results'!$L$3+
                                                                  VLOOKUP(CONCATENATE('DGNB LCA Results'!$I$3,"_",Q384), $A$2:$P$352,8,FALSE)*'DGNB LCA Results'!$J$3+
                                                                  VLOOKUP(CONCATENATE('DGNB LCA Results'!$G$3,"_",Q384), $A$2:$P$352,8,FALSE)*'DGNB LCA Results'!$H$3,
IF('DGNB LCA Results'!$P$4=3,VLOOKUP(CONCATENATE('DGNB LCA Results'!$M$3,"_",Q384), $A$2:$P$352,8,FALSE)*'DGNB LCA Results'!$N$3+
                                                                VLOOKUP(CONCATENATE('DGNB LCA Results'!$K$3,"_",Q384), $A$2:$P$352,8,FALSE)*'DGNB LCA Results'!$L$3+
                                                                VLOOKUP(CONCATENATE('DGNB LCA Results'!$I$3,"_",Q384),$A$2:$P$352,8,FALSE)*'DGNB LCA Results'!$J$3,
IF('DGNB LCA Results'!$P$4=2,VLOOKUP(CONCATENATE('DGNB LCA Results'!$M$3,"_",Q384), $A$2:$P$352,8,FALSE)*'DGNB LCA Results'!$N$3+
                                                                 VLOOKUP(CONCATENATE('DGNB LCA Results'!$K$3,"_",Q384),$A$2:$P$352,8,FALSE)*'DGNB LCA Results'!$L$3,
IF('DGNB LCA Results'!$P$4=1,VLOOKUP(CONCATENATE('DGNB LCA Results'!$M$3,"_",Q384), $A$2:$P$352,8,FALSE)*'DGNB LCA Results'!$N$3,0))))</f>
        <v>0</v>
      </c>
      <c r="I384" s="47">
        <f>IF('DGNB LCA Results'!$P$4=4,VLOOKUP(CONCATENATE('DGNB LCA Results'!$M$3,"_",Q384), $A$2:$P$352,9,FALSE)*'DGNB LCA Results'!$N$3+
                                                                  VLOOKUP(CONCATENATE('DGNB LCA Results'!$K$3,"_",Q384), $A$2:$P$352,9,FALSE)*'DGNB LCA Results'!$L$3+
                                                                  VLOOKUP(CONCATENATE('DGNB LCA Results'!$I$3,"_",Q384), $A$2:$P$352,9,FALSE)*'DGNB LCA Results'!$J$3+
                                                                  VLOOKUP(CONCATENATE('DGNB LCA Results'!$G$3,"_",Q384), $A$2:$P$352,9,FALSE)*'DGNB LCA Results'!$H$3,
IF('DGNB LCA Results'!$P$4=3,VLOOKUP(CONCATENATE('DGNB LCA Results'!$M$3,"_",Q384), $A$2:$P$352,9,FALSE)*'DGNB LCA Results'!$N$3+
                                                                VLOOKUP(CONCATENATE('DGNB LCA Results'!$K$3,"_",Q384), $A$2:$P$352,9,FALSE)*'DGNB LCA Results'!$L$3+
                                                                VLOOKUP(CONCATENATE('DGNB LCA Results'!$I$3,"_",Q384),$A$2:$P$352,9,FALSE)*'DGNB LCA Results'!$J$3,
IF('DGNB LCA Results'!$P$4=2,VLOOKUP(CONCATENATE('DGNB LCA Results'!$M$3,"_",Q384), $A$2:$P$352,9,FALSE)*'DGNB LCA Results'!$N$3+
                                                                 VLOOKUP(CONCATENATE('DGNB LCA Results'!$K$3,"_",Q384),$A$2:$P$352,9,FALSE)*'DGNB LCA Results'!$L$3,
IF('DGNB LCA Results'!$P$4=1,VLOOKUP(CONCATENATE('DGNB LCA Results'!$M$3,"_",Q384), $A$2:$P$352,9,FALSE)*'DGNB LCA Results'!$N$3,0))))</f>
        <v>0</v>
      </c>
      <c r="J384" s="121">
        <f>IF('DGNB LCA Results'!$P$4=4,VLOOKUP(CONCATENATE('DGNB LCA Results'!$M$3,"_",Q384), $A$2:$P$352,10,FALSE)*'DGNB LCA Results'!$N$3+
                                                                  VLOOKUP(CONCATENATE('DGNB LCA Results'!$K$3,"_",Q384), $A$2:$P$352,10,FALSE)*'DGNB LCA Results'!$L$3+
                                                                  VLOOKUP(CONCATENATE('DGNB LCA Results'!$I$3,"_",Q384), $A$2:$P$352,10,FALSE)*'DGNB LCA Results'!$J$3+
                                                                  VLOOKUP(CONCATENATE('DGNB LCA Results'!$G$3,"_",Q384), $A$2:$P$352,10,FALSE)*'DGNB LCA Results'!$H$3,
IF('DGNB LCA Results'!$P$4=3,VLOOKUP(CONCATENATE('DGNB LCA Results'!$M$3,"_",Q384), $A$2:$P$352,10,FALSE)*'DGNB LCA Results'!$N$3+
                                                                VLOOKUP(CONCATENATE('DGNB LCA Results'!$K$3,"_",Q384), $A$2:$P$352,10,FALSE)*'DGNB LCA Results'!$L$3+
                                                                VLOOKUP(CONCATENATE('DGNB LCA Results'!$I$3,"_",Q384),$A$2:$P$352,10,FALSE)*'DGNB LCA Results'!$J$3,
IF('DGNB LCA Results'!$P$4=2,VLOOKUP(CONCATENATE('DGNB LCA Results'!$M$3,"_",Q384), $A$2:$P$352,10,FALSE)*'DGNB LCA Results'!$N$3+
                                                                 VLOOKUP(CONCATENATE('DGNB LCA Results'!$K$3,"_",Q384),$A$2:$P$352,10,FALSE)*'DGNB LCA Results'!$L$3,
IF('DGNB LCA Results'!$P$4=1,VLOOKUP(CONCATENATE('DGNB LCA Results'!$M$3,"_",Q384), $A$2:$P$352,10,FALSE)*'DGNB LCA Results'!$N$3,0))))</f>
        <v>0</v>
      </c>
      <c r="K384" s="120">
        <f>IF('DGNB LCA Results'!$P$4=4,VLOOKUP(CONCATENATE('DGNB LCA Results'!$M$3,"_",Q384), $A$2:$P$352,11,FALSE)*'DGNB LCA Results'!$N$3+
                                                                  VLOOKUP(CONCATENATE('DGNB LCA Results'!$K$3,"_",Q384), $A$2:$P$352,11,FALSE)*'DGNB LCA Results'!$L$3+
                                                                  VLOOKUP(CONCATENATE('DGNB LCA Results'!$I$3,"_",Q384), $A$2:$P$352,11,FALSE)*'DGNB LCA Results'!$J$3+
                                                                  VLOOKUP(CONCATENATE('DGNB LCA Results'!$G$3,"_",Q384), $A$2:$P$352,11,FALSE)*'DGNB LCA Results'!$H$3,
IF('DGNB LCA Results'!$P$4=3,VLOOKUP(CONCATENATE('DGNB LCA Results'!$M$3,"_",Q384), $A$2:$P$352,11,FALSE)*'DGNB LCA Results'!$N$3+
                                                                VLOOKUP(CONCATENATE('DGNB LCA Results'!$K$3,"_",Q384), $A$2:$P$352,11,FALSE)*'DGNB LCA Results'!$L$3+
                                                                VLOOKUP(CONCATENATE('DGNB LCA Results'!$I$3,"_",Q384),$A$2:$P$352,11,FALSE)*'DGNB LCA Results'!$J$3,
IF('DGNB LCA Results'!$P$4=2,VLOOKUP(CONCATENATE('DGNB LCA Results'!$M$3,"_",Q384), $A$2:$P$352,11,FALSE)*'DGNB LCA Results'!$N$3+
                                                                 VLOOKUP(CONCATENATE('DGNB LCA Results'!$K$3,"_",Q384),$A$2:$P$352,11,FALSE)*'DGNB LCA Results'!$L$3,
IF('DGNB LCA Results'!$P$4=1,VLOOKUP(CONCATENATE('DGNB LCA Results'!$M$3,"_",Q384), $A$2:$P$352,11,FALSE)*'DGNB LCA Results'!$N$3,0))))</f>
        <v>0</v>
      </c>
      <c r="L384" s="47">
        <f>IF('DGNB LCA Results'!$P$4=4,VLOOKUP(CONCATENATE('DGNB LCA Results'!$M$3,"_",Q384), $A$2:$P$352,12,FALSE)*'DGNB LCA Results'!$N$3+
                                                                  VLOOKUP(CONCATENATE('DGNB LCA Results'!$K$3,"_",Q384), $A$2:$P$352,12,FALSE)*'DGNB LCA Results'!$L$3+
                                                                  VLOOKUP(CONCATENATE('DGNB LCA Results'!$I$3,"_",Q384), $A$2:$P$352,12,FALSE)*'DGNB LCA Results'!$J$3+
                                                                  VLOOKUP(CONCATENATE('DGNB LCA Results'!$G$3,"_",Q384), $A$2:$P$352,12,FALSE)*'DGNB LCA Results'!$H$3,
IF('DGNB LCA Results'!$P$4=3,VLOOKUP(CONCATENATE('DGNB LCA Results'!$M$3,"_",Q384), $A$2:$P$352,12,FALSE)*'DGNB LCA Results'!$N$3+
                                                                VLOOKUP(CONCATENATE('DGNB LCA Results'!$K$3,"_",Q384), $A$2:$P$352,12,FALSE)*'DGNB LCA Results'!$L$3+
                                                                VLOOKUP(CONCATENATE('DGNB LCA Results'!$I$3,"_",Q384),$A$2:$P$352,12,FALSE)*'DGNB LCA Results'!$J$3,
IF('DGNB LCA Results'!$P$4=2,VLOOKUP(CONCATENATE('DGNB LCA Results'!$M$3,"_",Q384), $A$2:$P$352,12,FALSE)*'DGNB LCA Results'!$N$3+
                                                                 VLOOKUP(CONCATENATE('DGNB LCA Results'!$K$3,"_",Q384),$A$2:$P$352,12,FALSE)*'DGNB LCA Results'!$L$3,
IF('DGNB LCA Results'!$P$4=1,VLOOKUP(CONCATENATE('DGNB LCA Results'!$M$3,"_",Q384), $A$2:$P$352,12,FALSE)*'DGNB LCA Results'!$N$3,0))))</f>
        <v>0</v>
      </c>
      <c r="M384" s="121">
        <f>IF('DGNB LCA Results'!$P$4=4,VLOOKUP(CONCATENATE('DGNB LCA Results'!$M$3,"_",Q384), $A$2:$P$352,13,FALSE)*'DGNB LCA Results'!$N$3+
                                                                  VLOOKUP(CONCATENATE('DGNB LCA Results'!$K$3,"_",Q384), $A$2:$P$352,13,FALSE)*'DGNB LCA Results'!$L$3+
                                                                  VLOOKUP(CONCATENATE('DGNB LCA Results'!$I$3,"_",Q384), $A$2:$P$352,13,FALSE)*'DGNB LCA Results'!$J$3+
                                                                  VLOOKUP(CONCATENATE('DGNB LCA Results'!$G$3,"_",Q384), $A$2:$P$352,13,FALSE)*'DGNB LCA Results'!$H$3,
IF('DGNB LCA Results'!$P$4=3,VLOOKUP(CONCATENATE('DGNB LCA Results'!$M$3,"_",Q384), $A$2:$P$352,13,FALSE)*'DGNB LCA Results'!$N$3+
                                                                VLOOKUP(CONCATENATE('DGNB LCA Results'!$K$3,"_",Q384), $A$2:$P$352,13,FALSE)*'DGNB LCA Results'!$L$3+
                                                                VLOOKUP(CONCATENATE('DGNB LCA Results'!$I$3,"_",Q384),$A$2:$P$352,13,FALSE)*'DGNB LCA Results'!$J$3,
IF('DGNB LCA Results'!$P$4=2,VLOOKUP(CONCATENATE('DGNB LCA Results'!$M$3,"_",Q384), $A$2:$P$352,13,FALSE)*'DGNB LCA Results'!$N$3+
                                                                 VLOOKUP(CONCATENATE('DGNB LCA Results'!$K$3,"_",Q384),$A$2:$P$352,13,FALSE)*'DGNB LCA Results'!$L$3,
IF('DGNB LCA Results'!$P$4=1,VLOOKUP(CONCATENATE('DGNB LCA Results'!$M$3,"_",Q384), $A$2:$P$352,13,FALSE)*'DGNB LCA Results'!$N$3,0))))</f>
        <v>0</v>
      </c>
      <c r="N384" s="120">
        <f>IF('DGNB LCA Results'!$P$4=4,VLOOKUP(CONCATENATE('DGNB LCA Results'!$M$3,"_",Q384), $A$2:$P$352,14,FALSE)*'DGNB LCA Results'!$N$3+
                                                                  VLOOKUP(CONCATENATE('DGNB LCA Results'!$K$3,"_",Q384), $A$2:$P$352,14,FALSE)*'DGNB LCA Results'!$L$3+
                                                                  VLOOKUP(CONCATENATE('DGNB LCA Results'!$I$3,"_",Q384), $A$2:$P$352,14,FALSE)*'DGNB LCA Results'!$J$3+
                                                                  VLOOKUP(CONCATENATE('DGNB LCA Results'!$G$3,"_",Q384), $A$2:$P$352,14,FALSE)*'DGNB LCA Results'!$H$3,
IF('DGNB LCA Results'!$P$4=3,VLOOKUP(CONCATENATE('DGNB LCA Results'!$M$3,"_",Q384), $A$2:$P$352,14,FALSE)*'DGNB LCA Results'!$N$3+
                                                                VLOOKUP(CONCATENATE('DGNB LCA Results'!$K$3,"_",Q384), $A$2:$P$352,14,FALSE)*'DGNB LCA Results'!$L$3+
                                                                VLOOKUP(CONCATENATE('DGNB LCA Results'!$I$3,"_",Q384),$A$2:$P$352,14,FALSE)*'DGNB LCA Results'!$J$3,
IF('DGNB LCA Results'!$P$4=2,VLOOKUP(CONCATENATE('DGNB LCA Results'!$M$3,"_",Q384), $A$2:$P$352,14,FALSE)*'DGNB LCA Results'!$N$3+
                                                                 VLOOKUP(CONCATENATE('DGNB LCA Results'!$K$3,"_",Q384),$A$2:$P$352,14,FALSE)*'DGNB LCA Results'!$L$3,
IF('DGNB LCA Results'!$P$4=1,VLOOKUP(CONCATENATE('DGNB LCA Results'!$M$3,"_",Q384), $A$2:$P$352,14,FALSE)*'DGNB LCA Results'!$N$3,0))))</f>
        <v>0</v>
      </c>
      <c r="O384" s="47">
        <f>IF('DGNB LCA Results'!$P$4=4,VLOOKUP(CONCATENATE('DGNB LCA Results'!$M$3,"_",Q384), $A$2:$P$352,15,FALSE)*'DGNB LCA Results'!$N$3+
                                                                  VLOOKUP(CONCATENATE('DGNB LCA Results'!$K$3,"_",Q384), $A$2:$P$352,15,FALSE)*'DGNB LCA Results'!$L$3+
                                                                  VLOOKUP(CONCATENATE('DGNB LCA Results'!$I$3,"_",Q384), $A$2:$P$352,15,FALSE)*'DGNB LCA Results'!$J$3+
                                                                  VLOOKUP(CONCATENATE('DGNB LCA Results'!$G$3,"_",Q384), $A$2:$P$352,15,FALSE)*'DGNB LCA Results'!$H$3,
IF('DGNB LCA Results'!$P$4=3,VLOOKUP(CONCATENATE('DGNB LCA Results'!$M$3,"_",Q384), $A$2:$P$352,15,FALSE)*'DGNB LCA Results'!$N$3+
                                                                VLOOKUP(CONCATENATE('DGNB LCA Results'!$K$3,"_",Q384), $A$2:$P$352,15,FALSE)*'DGNB LCA Results'!$L$3+
                                                                VLOOKUP(CONCATENATE('DGNB LCA Results'!$I$3,"_",Q384),$A$2:$P$352,15,FALSE)*'DGNB LCA Results'!$J$3,
IF('DGNB LCA Results'!$P$4=2,VLOOKUP(CONCATENATE('DGNB LCA Results'!$M$3,"_",Q384), $A$2:$P$352,15,FALSE)*'DGNB LCA Results'!$N$3+
                                                                 VLOOKUP(CONCATENATE('DGNB LCA Results'!$K$3,"_",Q384),$A$2:$P$352,15,FALSE)*'DGNB LCA Results'!$L$3,
IF('DGNB LCA Results'!$P$4=1,VLOOKUP(CONCATENATE('DGNB LCA Results'!$M$3,"_",Q384), $A$2:$P$352,15,FALSE)*'DGNB LCA Results'!$N$3,0))))</f>
        <v>0</v>
      </c>
      <c r="P384" s="121">
        <f>IF('DGNB LCA Results'!$P$4=4,VLOOKUP(CONCATENATE('DGNB LCA Results'!$M$3,"_",Q384), $A$2:$P$352,16,FALSE)*'DGNB LCA Results'!$N$3+
                                                                  VLOOKUP(CONCATENATE('DGNB LCA Results'!$K$3,"_",Q384), $A$2:$P$352,16,FALSE)*'DGNB LCA Results'!$L$3+
                                                                  VLOOKUP(CONCATENATE('DGNB LCA Results'!$I$3,"_",Q384), $A$2:$P$352,16,FALSE)*'DGNB LCA Results'!$J$3+
                                                                  VLOOKUP(CONCATENATE('DGNB LCA Results'!$G$3,"_",Q384), $A$2:$P$352,16,FALSE)*'DGNB LCA Results'!$H$3,
IF('DGNB LCA Results'!$P$4=3,VLOOKUP(CONCATENATE('DGNB LCA Results'!$M$3,"_",Q384), $A$2:$P$352,16,FALSE)*'DGNB LCA Results'!$N$3+
                                                                VLOOKUP(CONCATENATE('DGNB LCA Results'!$K$3,"_",Q384), $A$2:$P$352,16,FALSE)*'DGNB LCA Results'!$L$3+
                                                                VLOOKUP(CONCATENATE('DGNB LCA Results'!$I$3,"_",Q384),$A$2:$P$352,16,FALSE)*'DGNB LCA Results'!$J$3,
IF('DGNB LCA Results'!$P$4=2,VLOOKUP(CONCATENATE('DGNB LCA Results'!$M$3,"_",Q384), $A$2:$P$352,16,FALSE)*'DGNB LCA Results'!$N$3+
                                                                 VLOOKUP(CONCATENATE('DGNB LCA Results'!$K$3,"_",Q384),$A$2:$P$352,16,FALSE)*'DGNB LCA Results'!$L$3,
IF('DGNB LCA Results'!$P$4=1,VLOOKUP(CONCATENATE('DGNB LCA Results'!$M$3,"_",Q384), $A$2:$P$352,16,FALSE)*'DGNB LCA Results'!$N$3,0))))</f>
        <v>0</v>
      </c>
      <c r="Q384">
        <v>75</v>
      </c>
      <c r="R384" t="s">
        <v>194</v>
      </c>
    </row>
    <row r="385" spans="1:18" x14ac:dyDescent="0.2">
      <c r="A385" t="str">
        <f t="shared" si="8"/>
        <v>MIX15_80</v>
      </c>
      <c r="B385" s="120">
        <f>IF('DGNB LCA Results'!$P$4=4,VLOOKUP(CONCATENATE('DGNB LCA Results'!$M$3,"_",Q385), $A$2:$P$352,2,FALSE)*'DGNB LCA Results'!$N$3+
                                                                  VLOOKUP(CONCATENATE('DGNB LCA Results'!$K$3,"_",Q385), $A$2:$P$352,2,FALSE)*'DGNB LCA Results'!$L$3+
                                                                  VLOOKUP(CONCATENATE('DGNB LCA Results'!$I$3,"_",Q385), $A$2:$P$352,2,FALSE)*'DGNB LCA Results'!$J$3+
                                                                  VLOOKUP(CONCATENATE('DGNB LCA Results'!$G$3,"_",Q385), $A$2:$P$352,2,FALSE)*'DGNB LCA Results'!$H$3,
IF('DGNB LCA Results'!$P$4=3,VLOOKUP(CONCATENATE('DGNB LCA Results'!$M$3,"_",Q385), $A$2:$P$352,2,FALSE)*'DGNB LCA Results'!$N$3+
                                                                VLOOKUP(CONCATENATE('DGNB LCA Results'!$K$3,"_",Q385), $A$2:$P$352,2,FALSE)*'DGNB LCA Results'!$L$3+
                                                                VLOOKUP(CONCATENATE('DGNB LCA Results'!$I$3,"_",Q385),$A$2:$P$352,2,FALSE)*'DGNB LCA Results'!$J$3,
IF('DGNB LCA Results'!$P$4=2,VLOOKUP(CONCATENATE('DGNB LCA Results'!$M$3,"_",Q385), $A$2:$P$352,2,FALSE)*'DGNB LCA Results'!$N$3+
                                                                 VLOOKUP(CONCATENATE('DGNB LCA Results'!$K$3,"_",Q385),$A$2:$P$352,2,FALSE)*'DGNB LCA Results'!$L$3,
IF('DGNB LCA Results'!$P$4=1,VLOOKUP(CONCATENATE('DGNB LCA Results'!$M$3,"_",Q385), $A$2:$P$352,2,FALSE)*'DGNB LCA Results'!$N$3,0))))</f>
        <v>0</v>
      </c>
      <c r="C385" s="49">
        <f>IF('DGNB LCA Results'!$P$4=4,VLOOKUP(CONCATENATE('DGNB LCA Results'!$M$3,"_",Q385), $A$2:$P$352,3,FALSE)*'DGNB LCA Results'!$N$3+
                                                                  VLOOKUP(CONCATENATE('DGNB LCA Results'!$K$3,"_",Q385), $A$2:$P$352,3,FALSE)*'DGNB LCA Results'!$L$3+
                                                                  VLOOKUP(CONCATENATE('DGNB LCA Results'!$I$3,"_",Q385), $A$2:$P$352,3,FALSE)*'DGNB LCA Results'!$J$3+
                                                                  VLOOKUP(CONCATENATE('DGNB LCA Results'!$G$3,"_",Q385), $A$2:$P$352,3,FALSE)*'DGNB LCA Results'!$H$3,
IF('DGNB LCA Results'!$P$4=3,VLOOKUP(CONCATENATE('DGNB LCA Results'!$M$3,"_",Q385), $A$2:$P$352,3,FALSE)*'DGNB LCA Results'!$N$3+
                                                                VLOOKUP(CONCATENATE('DGNB LCA Results'!$K$3,"_",Q385), $A$2:$P$352,3,FALSE)*'DGNB LCA Results'!$L$3+
                                                                VLOOKUP(CONCATENATE('DGNB LCA Results'!$I$3,"_",Q385),$A$2:$P$352,3,FALSE)*'DGNB LCA Results'!$J$3,
IF('DGNB LCA Results'!$P$4=2,VLOOKUP(CONCATENATE('DGNB LCA Results'!$M$3,"_",Q385), $A$2:$P$352,3,FALSE)*'DGNB LCA Results'!$N$3+
                                                                 VLOOKUP(CONCATENATE('DGNB LCA Results'!$K$3,"_",Q385),$A$2:$P$352,3,FALSE)*'DGNB LCA Results'!$L$3,
IF('DGNB LCA Results'!$P$4=1,VLOOKUP(CONCATENATE('DGNB LCA Results'!$M$3,"_",Q385), $A$2:$P$352,3,FALSE)*'DGNB LCA Results'!$N$3,0))))</f>
        <v>0</v>
      </c>
      <c r="D385" s="49">
        <f>IF('DGNB LCA Results'!$P$4=4,VLOOKUP(CONCATENATE('DGNB LCA Results'!$M$3,"_",Q385), $A$2:$P$352,4,FALSE)*'DGNB LCA Results'!$N$3+
                                                                  VLOOKUP(CONCATENATE('DGNB LCA Results'!$K$3,"_",Q385), $A$2:$P$352,4,FALSE)*'DGNB LCA Results'!$L$3+
                                                                  VLOOKUP(CONCATENATE('DGNB LCA Results'!$I$3,"_",Q385), $A$2:$P$352,4,FALSE)*'DGNB LCA Results'!$J$3+
                                                                  VLOOKUP(CONCATENATE('DGNB LCA Results'!$G$3,"_",Q385), $A$2:$P$352,4,FALSE)*'DGNB LCA Results'!$H$3,
IF('DGNB LCA Results'!$P$4=3,VLOOKUP(CONCATENATE('DGNB LCA Results'!$M$3,"_",Q385), $A$2:$P$352,4,FALSE)*'DGNB LCA Results'!$N$3+
                                                                VLOOKUP(CONCATENATE('DGNB LCA Results'!$K$3,"_",Q385), $A$2:$P$352,4,FALSE)*'DGNB LCA Results'!$L$3+
                                                                VLOOKUP(CONCATENATE('DGNB LCA Results'!$I$3,"_",Q385),$A$2:$P$352,4,FALSE)*'DGNB LCA Results'!$J$3,
IF('DGNB LCA Results'!$P$4=2,VLOOKUP(CONCATENATE('DGNB LCA Results'!$M$3,"_",Q385), $A$2:$P$352,4,FALSE)*'DGNB LCA Results'!$N$3+
                                                                 VLOOKUP(CONCATENATE('DGNB LCA Results'!$K$3,"_",Q385),$A$2:$P$352,4,FALSE)*'DGNB LCA Results'!$L$3,
IF('DGNB LCA Results'!$P$4=1,VLOOKUP(CONCATENATE('DGNB LCA Results'!$M$3,"_",Q385), $A$2:$P$352,4,FALSE)*'DGNB LCA Results'!$N$3,0))))</f>
        <v>0</v>
      </c>
      <c r="E385" s="120">
        <f>IF('DGNB LCA Results'!$P$4=4,VLOOKUP(CONCATENATE('DGNB LCA Results'!$M$3,"_",Q385), $A$2:$P$352,5,FALSE)*'DGNB LCA Results'!$N$3+
                                                                  VLOOKUP(CONCATENATE('DGNB LCA Results'!$K$3,"_",Q385), $A$2:$P$352,5,FALSE)*'DGNB LCA Results'!$L$3+
                                                                  VLOOKUP(CONCATENATE('DGNB LCA Results'!$I$3,"_",Q385), $A$2:$P$352,5,FALSE)*'DGNB LCA Results'!$J$3+
                                                                  VLOOKUP(CONCATENATE('DGNB LCA Results'!$G$3,"_",Q385), $A$2:$P$352,5,FALSE)*'DGNB LCA Results'!$H$3,
IF('DGNB LCA Results'!$P$4=3,VLOOKUP(CONCATENATE('DGNB LCA Results'!$M$3,"_",Q385), $A$2:$P$352,5,FALSE)*'DGNB LCA Results'!$N$3+
                                                                VLOOKUP(CONCATENATE('DGNB LCA Results'!$K$3,"_",Q385), $A$2:$P$352,5,FALSE)*'DGNB LCA Results'!$L$3+
                                                                VLOOKUP(CONCATENATE('DGNB LCA Results'!$I$3,"_",Q385),$A$2:$P$352,5,FALSE)*'DGNB LCA Results'!$J$3,
IF('DGNB LCA Results'!$P$4=2,VLOOKUP(CONCATENATE('DGNB LCA Results'!$M$3,"_",Q385), $A$2:$P$352,5,FALSE)*'DGNB LCA Results'!$N$3+
                                                                 VLOOKUP(CONCATENATE('DGNB LCA Results'!$K$3,"_",Q385),$A$2:$P$352,5,FALSE)*'DGNB LCA Results'!$L$3,
IF('DGNB LCA Results'!$P$4=1,VLOOKUP(CONCATENATE('DGNB LCA Results'!$M$3,"_",Q385), $A$2:$P$352,5,FALSE)*'DGNB LCA Results'!$N$3,0))))</f>
        <v>0</v>
      </c>
      <c r="F385" s="47">
        <f>IF('DGNB LCA Results'!$P$4=4,VLOOKUP(CONCATENATE('DGNB LCA Results'!$M$3,"_",Q385), $A$2:$P$352,6,FALSE)*'DGNB LCA Results'!$N$3+
                                                                  VLOOKUP(CONCATENATE('DGNB LCA Results'!$K$3,"_",Q385), $A$2:$P$352,6,FALSE)*'DGNB LCA Results'!$L$3+
                                                                  VLOOKUP(CONCATENATE('DGNB LCA Results'!$I$3,"_",Q385), $A$2:$P$352,6,FALSE)*'DGNB LCA Results'!$J$3+
                                                                  VLOOKUP(CONCATENATE('DGNB LCA Results'!$G$3,"_",Q385), $A$2:$P$352,6,FALSE)*'DGNB LCA Results'!$H$3,
IF('DGNB LCA Results'!$P$4=3,VLOOKUP(CONCATENATE('DGNB LCA Results'!$M$3,"_",Q385), $A$2:$P$352,6,FALSE)*'DGNB LCA Results'!$N$3+
                                                                VLOOKUP(CONCATENATE('DGNB LCA Results'!$K$3,"_",Q385), $A$2:$P$352,6,FALSE)*'DGNB LCA Results'!$L$3+
                                                                VLOOKUP(CONCATENATE('DGNB LCA Results'!$I$3,"_",Q385),$A$2:$P$352,6,FALSE)*'DGNB LCA Results'!$J$3,
IF('DGNB LCA Results'!$P$4=2,VLOOKUP(CONCATENATE('DGNB LCA Results'!$M$3,"_",Q385), $A$2:$P$352,6,FALSE)*'DGNB LCA Results'!$N$3+
                                                                 VLOOKUP(CONCATENATE('DGNB LCA Results'!$K$3,"_",Q385),$A$2:$P$352,6,FALSE)*'DGNB LCA Results'!$L$3,
IF('DGNB LCA Results'!$P$4=1,VLOOKUP(CONCATENATE('DGNB LCA Results'!$M$3,"_",Q385), $A$2:$P$352,6,FALSE)*'DGNB LCA Results'!$N$3,0))))</f>
        <v>0</v>
      </c>
      <c r="G385" s="121">
        <f>IF('DGNB LCA Results'!$P$4=4,VLOOKUP(CONCATENATE('DGNB LCA Results'!$M$3,"_",Q385), $A$2:$P$352,7,FALSE)*'DGNB LCA Results'!$N$3+
                                                                  VLOOKUP(CONCATENATE('DGNB LCA Results'!$K$3,"_",Q385), $A$2:$P$352,7,FALSE)*'DGNB LCA Results'!$L$3+
                                                                  VLOOKUP(CONCATENATE('DGNB LCA Results'!$I$3,"_",Q385), $A$2:$P$352,7,FALSE)*'DGNB LCA Results'!$J$3+
                                                                  VLOOKUP(CONCATENATE('DGNB LCA Results'!$G$3,"_",Q385), $A$2:$P$352,7,FALSE)*'DGNB LCA Results'!$H$3,
IF('DGNB LCA Results'!$P$4=3,VLOOKUP(CONCATENATE('DGNB LCA Results'!$M$3,"_",Q385), $A$2:$P$352,7,FALSE)*'DGNB LCA Results'!$N$3+
                                                                VLOOKUP(CONCATENATE('DGNB LCA Results'!$K$3,"_",Q385), $A$2:$P$352,7,FALSE)*'DGNB LCA Results'!$L$3+
                                                                VLOOKUP(CONCATENATE('DGNB LCA Results'!$I$3,"_",Q385),$A$2:$P$352,7,FALSE)*'DGNB LCA Results'!$J$3,
IF('DGNB LCA Results'!$P$4=2,VLOOKUP(CONCATENATE('DGNB LCA Results'!$M$3,"_",Q385), $A$2:$P$352,7,FALSE)*'DGNB LCA Results'!$N$3+
                                                                 VLOOKUP(CONCATENATE('DGNB LCA Results'!$K$3,"_",Q385),$A$2:$P$352,7,FALSE)*'DGNB LCA Results'!$L$3,
IF('DGNB LCA Results'!$P$4=1,VLOOKUP(CONCATENATE('DGNB LCA Results'!$M$3,"_",Q385), $A$2:$P$352,7,FALSE)*'DGNB LCA Results'!$N$3,0))))</f>
        <v>0</v>
      </c>
      <c r="H385" s="120">
        <f>IF('DGNB LCA Results'!$P$4=4,VLOOKUP(CONCATENATE('DGNB LCA Results'!$M$3,"_",Q385), $A$2:$P$352,8,FALSE)*'DGNB LCA Results'!$N$3+
                                                                  VLOOKUP(CONCATENATE('DGNB LCA Results'!$K$3,"_",Q385), $A$2:$P$352,8,FALSE)*'DGNB LCA Results'!$L$3+
                                                                  VLOOKUP(CONCATENATE('DGNB LCA Results'!$I$3,"_",Q385), $A$2:$P$352,8,FALSE)*'DGNB LCA Results'!$J$3+
                                                                  VLOOKUP(CONCATENATE('DGNB LCA Results'!$G$3,"_",Q385), $A$2:$P$352,8,FALSE)*'DGNB LCA Results'!$H$3,
IF('DGNB LCA Results'!$P$4=3,VLOOKUP(CONCATENATE('DGNB LCA Results'!$M$3,"_",Q385), $A$2:$P$352,8,FALSE)*'DGNB LCA Results'!$N$3+
                                                                VLOOKUP(CONCATENATE('DGNB LCA Results'!$K$3,"_",Q385), $A$2:$P$352,8,FALSE)*'DGNB LCA Results'!$L$3+
                                                                VLOOKUP(CONCATENATE('DGNB LCA Results'!$I$3,"_",Q385),$A$2:$P$352,8,FALSE)*'DGNB LCA Results'!$J$3,
IF('DGNB LCA Results'!$P$4=2,VLOOKUP(CONCATENATE('DGNB LCA Results'!$M$3,"_",Q385), $A$2:$P$352,8,FALSE)*'DGNB LCA Results'!$N$3+
                                                                 VLOOKUP(CONCATENATE('DGNB LCA Results'!$K$3,"_",Q385),$A$2:$P$352,8,FALSE)*'DGNB LCA Results'!$L$3,
IF('DGNB LCA Results'!$P$4=1,VLOOKUP(CONCATENATE('DGNB LCA Results'!$M$3,"_",Q385), $A$2:$P$352,8,FALSE)*'DGNB LCA Results'!$N$3,0))))</f>
        <v>0</v>
      </c>
      <c r="I385" s="47">
        <f>IF('DGNB LCA Results'!$P$4=4,VLOOKUP(CONCATENATE('DGNB LCA Results'!$M$3,"_",Q385), $A$2:$P$352,9,FALSE)*'DGNB LCA Results'!$N$3+
                                                                  VLOOKUP(CONCATENATE('DGNB LCA Results'!$K$3,"_",Q385), $A$2:$P$352,9,FALSE)*'DGNB LCA Results'!$L$3+
                                                                  VLOOKUP(CONCATENATE('DGNB LCA Results'!$I$3,"_",Q385), $A$2:$P$352,9,FALSE)*'DGNB LCA Results'!$J$3+
                                                                  VLOOKUP(CONCATENATE('DGNB LCA Results'!$G$3,"_",Q385), $A$2:$P$352,9,FALSE)*'DGNB LCA Results'!$H$3,
IF('DGNB LCA Results'!$P$4=3,VLOOKUP(CONCATENATE('DGNB LCA Results'!$M$3,"_",Q385), $A$2:$P$352,9,FALSE)*'DGNB LCA Results'!$N$3+
                                                                VLOOKUP(CONCATENATE('DGNB LCA Results'!$K$3,"_",Q385), $A$2:$P$352,9,FALSE)*'DGNB LCA Results'!$L$3+
                                                                VLOOKUP(CONCATENATE('DGNB LCA Results'!$I$3,"_",Q385),$A$2:$P$352,9,FALSE)*'DGNB LCA Results'!$J$3,
IF('DGNB LCA Results'!$P$4=2,VLOOKUP(CONCATENATE('DGNB LCA Results'!$M$3,"_",Q385), $A$2:$P$352,9,FALSE)*'DGNB LCA Results'!$N$3+
                                                                 VLOOKUP(CONCATENATE('DGNB LCA Results'!$K$3,"_",Q385),$A$2:$P$352,9,FALSE)*'DGNB LCA Results'!$L$3,
IF('DGNB LCA Results'!$P$4=1,VLOOKUP(CONCATENATE('DGNB LCA Results'!$M$3,"_",Q385), $A$2:$P$352,9,FALSE)*'DGNB LCA Results'!$N$3,0))))</f>
        <v>0</v>
      </c>
      <c r="J385" s="121">
        <f>IF('DGNB LCA Results'!$P$4=4,VLOOKUP(CONCATENATE('DGNB LCA Results'!$M$3,"_",Q385), $A$2:$P$352,10,FALSE)*'DGNB LCA Results'!$N$3+
                                                                  VLOOKUP(CONCATENATE('DGNB LCA Results'!$K$3,"_",Q385), $A$2:$P$352,10,FALSE)*'DGNB LCA Results'!$L$3+
                                                                  VLOOKUP(CONCATENATE('DGNB LCA Results'!$I$3,"_",Q385), $A$2:$P$352,10,FALSE)*'DGNB LCA Results'!$J$3+
                                                                  VLOOKUP(CONCATENATE('DGNB LCA Results'!$G$3,"_",Q385), $A$2:$P$352,10,FALSE)*'DGNB LCA Results'!$H$3,
IF('DGNB LCA Results'!$P$4=3,VLOOKUP(CONCATENATE('DGNB LCA Results'!$M$3,"_",Q385), $A$2:$P$352,10,FALSE)*'DGNB LCA Results'!$N$3+
                                                                VLOOKUP(CONCATENATE('DGNB LCA Results'!$K$3,"_",Q385), $A$2:$P$352,10,FALSE)*'DGNB LCA Results'!$L$3+
                                                                VLOOKUP(CONCATENATE('DGNB LCA Results'!$I$3,"_",Q385),$A$2:$P$352,10,FALSE)*'DGNB LCA Results'!$J$3,
IF('DGNB LCA Results'!$P$4=2,VLOOKUP(CONCATENATE('DGNB LCA Results'!$M$3,"_",Q385), $A$2:$P$352,10,FALSE)*'DGNB LCA Results'!$N$3+
                                                                 VLOOKUP(CONCATENATE('DGNB LCA Results'!$K$3,"_",Q385),$A$2:$P$352,10,FALSE)*'DGNB LCA Results'!$L$3,
IF('DGNB LCA Results'!$P$4=1,VLOOKUP(CONCATENATE('DGNB LCA Results'!$M$3,"_",Q385), $A$2:$P$352,10,FALSE)*'DGNB LCA Results'!$N$3,0))))</f>
        <v>0</v>
      </c>
      <c r="K385" s="120">
        <f>IF('DGNB LCA Results'!$P$4=4,VLOOKUP(CONCATENATE('DGNB LCA Results'!$M$3,"_",Q385), $A$2:$P$352,11,FALSE)*'DGNB LCA Results'!$N$3+
                                                                  VLOOKUP(CONCATENATE('DGNB LCA Results'!$K$3,"_",Q385), $A$2:$P$352,11,FALSE)*'DGNB LCA Results'!$L$3+
                                                                  VLOOKUP(CONCATENATE('DGNB LCA Results'!$I$3,"_",Q385), $A$2:$P$352,11,FALSE)*'DGNB LCA Results'!$J$3+
                                                                  VLOOKUP(CONCATENATE('DGNB LCA Results'!$G$3,"_",Q385), $A$2:$P$352,11,FALSE)*'DGNB LCA Results'!$H$3,
IF('DGNB LCA Results'!$P$4=3,VLOOKUP(CONCATENATE('DGNB LCA Results'!$M$3,"_",Q385), $A$2:$P$352,11,FALSE)*'DGNB LCA Results'!$N$3+
                                                                VLOOKUP(CONCATENATE('DGNB LCA Results'!$K$3,"_",Q385), $A$2:$P$352,11,FALSE)*'DGNB LCA Results'!$L$3+
                                                                VLOOKUP(CONCATENATE('DGNB LCA Results'!$I$3,"_",Q385),$A$2:$P$352,11,FALSE)*'DGNB LCA Results'!$J$3,
IF('DGNB LCA Results'!$P$4=2,VLOOKUP(CONCATENATE('DGNB LCA Results'!$M$3,"_",Q385), $A$2:$P$352,11,FALSE)*'DGNB LCA Results'!$N$3+
                                                                 VLOOKUP(CONCATENATE('DGNB LCA Results'!$K$3,"_",Q385),$A$2:$P$352,11,FALSE)*'DGNB LCA Results'!$L$3,
IF('DGNB LCA Results'!$P$4=1,VLOOKUP(CONCATENATE('DGNB LCA Results'!$M$3,"_",Q385), $A$2:$P$352,11,FALSE)*'DGNB LCA Results'!$N$3,0))))</f>
        <v>0</v>
      </c>
      <c r="L385" s="47">
        <f>IF('DGNB LCA Results'!$P$4=4,VLOOKUP(CONCATENATE('DGNB LCA Results'!$M$3,"_",Q385), $A$2:$P$352,12,FALSE)*'DGNB LCA Results'!$N$3+
                                                                  VLOOKUP(CONCATENATE('DGNB LCA Results'!$K$3,"_",Q385), $A$2:$P$352,12,FALSE)*'DGNB LCA Results'!$L$3+
                                                                  VLOOKUP(CONCATENATE('DGNB LCA Results'!$I$3,"_",Q385), $A$2:$P$352,12,FALSE)*'DGNB LCA Results'!$J$3+
                                                                  VLOOKUP(CONCATENATE('DGNB LCA Results'!$G$3,"_",Q385), $A$2:$P$352,12,FALSE)*'DGNB LCA Results'!$H$3,
IF('DGNB LCA Results'!$P$4=3,VLOOKUP(CONCATENATE('DGNB LCA Results'!$M$3,"_",Q385), $A$2:$P$352,12,FALSE)*'DGNB LCA Results'!$N$3+
                                                                VLOOKUP(CONCATENATE('DGNB LCA Results'!$K$3,"_",Q385), $A$2:$P$352,12,FALSE)*'DGNB LCA Results'!$L$3+
                                                                VLOOKUP(CONCATENATE('DGNB LCA Results'!$I$3,"_",Q385),$A$2:$P$352,12,FALSE)*'DGNB LCA Results'!$J$3,
IF('DGNB LCA Results'!$P$4=2,VLOOKUP(CONCATENATE('DGNB LCA Results'!$M$3,"_",Q385), $A$2:$P$352,12,FALSE)*'DGNB LCA Results'!$N$3+
                                                                 VLOOKUP(CONCATENATE('DGNB LCA Results'!$K$3,"_",Q385),$A$2:$P$352,12,FALSE)*'DGNB LCA Results'!$L$3,
IF('DGNB LCA Results'!$P$4=1,VLOOKUP(CONCATENATE('DGNB LCA Results'!$M$3,"_",Q385), $A$2:$P$352,12,FALSE)*'DGNB LCA Results'!$N$3,0))))</f>
        <v>0</v>
      </c>
      <c r="M385" s="121">
        <f>IF('DGNB LCA Results'!$P$4=4,VLOOKUP(CONCATENATE('DGNB LCA Results'!$M$3,"_",Q385), $A$2:$P$352,13,FALSE)*'DGNB LCA Results'!$N$3+
                                                                  VLOOKUP(CONCATENATE('DGNB LCA Results'!$K$3,"_",Q385), $A$2:$P$352,13,FALSE)*'DGNB LCA Results'!$L$3+
                                                                  VLOOKUP(CONCATENATE('DGNB LCA Results'!$I$3,"_",Q385), $A$2:$P$352,13,FALSE)*'DGNB LCA Results'!$J$3+
                                                                  VLOOKUP(CONCATENATE('DGNB LCA Results'!$G$3,"_",Q385), $A$2:$P$352,13,FALSE)*'DGNB LCA Results'!$H$3,
IF('DGNB LCA Results'!$P$4=3,VLOOKUP(CONCATENATE('DGNB LCA Results'!$M$3,"_",Q385), $A$2:$P$352,13,FALSE)*'DGNB LCA Results'!$N$3+
                                                                VLOOKUP(CONCATENATE('DGNB LCA Results'!$K$3,"_",Q385), $A$2:$P$352,13,FALSE)*'DGNB LCA Results'!$L$3+
                                                                VLOOKUP(CONCATENATE('DGNB LCA Results'!$I$3,"_",Q385),$A$2:$P$352,13,FALSE)*'DGNB LCA Results'!$J$3,
IF('DGNB LCA Results'!$P$4=2,VLOOKUP(CONCATENATE('DGNB LCA Results'!$M$3,"_",Q385), $A$2:$P$352,13,FALSE)*'DGNB LCA Results'!$N$3+
                                                                 VLOOKUP(CONCATENATE('DGNB LCA Results'!$K$3,"_",Q385),$A$2:$P$352,13,FALSE)*'DGNB LCA Results'!$L$3,
IF('DGNB LCA Results'!$P$4=1,VLOOKUP(CONCATENATE('DGNB LCA Results'!$M$3,"_",Q385), $A$2:$P$352,13,FALSE)*'DGNB LCA Results'!$N$3,0))))</f>
        <v>0</v>
      </c>
      <c r="N385" s="120">
        <f>IF('DGNB LCA Results'!$P$4=4,VLOOKUP(CONCATENATE('DGNB LCA Results'!$M$3,"_",Q385), $A$2:$P$352,14,FALSE)*'DGNB LCA Results'!$N$3+
                                                                  VLOOKUP(CONCATENATE('DGNB LCA Results'!$K$3,"_",Q385), $A$2:$P$352,14,FALSE)*'DGNB LCA Results'!$L$3+
                                                                  VLOOKUP(CONCATENATE('DGNB LCA Results'!$I$3,"_",Q385), $A$2:$P$352,14,FALSE)*'DGNB LCA Results'!$J$3+
                                                                  VLOOKUP(CONCATENATE('DGNB LCA Results'!$G$3,"_",Q385), $A$2:$P$352,14,FALSE)*'DGNB LCA Results'!$H$3,
IF('DGNB LCA Results'!$P$4=3,VLOOKUP(CONCATENATE('DGNB LCA Results'!$M$3,"_",Q385), $A$2:$P$352,14,FALSE)*'DGNB LCA Results'!$N$3+
                                                                VLOOKUP(CONCATENATE('DGNB LCA Results'!$K$3,"_",Q385), $A$2:$P$352,14,FALSE)*'DGNB LCA Results'!$L$3+
                                                                VLOOKUP(CONCATENATE('DGNB LCA Results'!$I$3,"_",Q385),$A$2:$P$352,14,FALSE)*'DGNB LCA Results'!$J$3,
IF('DGNB LCA Results'!$P$4=2,VLOOKUP(CONCATENATE('DGNB LCA Results'!$M$3,"_",Q385), $A$2:$P$352,14,FALSE)*'DGNB LCA Results'!$N$3+
                                                                 VLOOKUP(CONCATENATE('DGNB LCA Results'!$K$3,"_",Q385),$A$2:$P$352,14,FALSE)*'DGNB LCA Results'!$L$3,
IF('DGNB LCA Results'!$P$4=1,VLOOKUP(CONCATENATE('DGNB LCA Results'!$M$3,"_",Q385), $A$2:$P$352,14,FALSE)*'DGNB LCA Results'!$N$3,0))))</f>
        <v>0</v>
      </c>
      <c r="O385" s="47">
        <f>IF('DGNB LCA Results'!$P$4=4,VLOOKUP(CONCATENATE('DGNB LCA Results'!$M$3,"_",Q385), $A$2:$P$352,15,FALSE)*'DGNB LCA Results'!$N$3+
                                                                  VLOOKUP(CONCATENATE('DGNB LCA Results'!$K$3,"_",Q385), $A$2:$P$352,15,FALSE)*'DGNB LCA Results'!$L$3+
                                                                  VLOOKUP(CONCATENATE('DGNB LCA Results'!$I$3,"_",Q385), $A$2:$P$352,15,FALSE)*'DGNB LCA Results'!$J$3+
                                                                  VLOOKUP(CONCATENATE('DGNB LCA Results'!$G$3,"_",Q385), $A$2:$P$352,15,FALSE)*'DGNB LCA Results'!$H$3,
IF('DGNB LCA Results'!$P$4=3,VLOOKUP(CONCATENATE('DGNB LCA Results'!$M$3,"_",Q385), $A$2:$P$352,15,FALSE)*'DGNB LCA Results'!$N$3+
                                                                VLOOKUP(CONCATENATE('DGNB LCA Results'!$K$3,"_",Q385), $A$2:$P$352,15,FALSE)*'DGNB LCA Results'!$L$3+
                                                                VLOOKUP(CONCATENATE('DGNB LCA Results'!$I$3,"_",Q385),$A$2:$P$352,15,FALSE)*'DGNB LCA Results'!$J$3,
IF('DGNB LCA Results'!$P$4=2,VLOOKUP(CONCATENATE('DGNB LCA Results'!$M$3,"_",Q385), $A$2:$P$352,15,FALSE)*'DGNB LCA Results'!$N$3+
                                                                 VLOOKUP(CONCATENATE('DGNB LCA Results'!$K$3,"_",Q385),$A$2:$P$352,15,FALSE)*'DGNB LCA Results'!$L$3,
IF('DGNB LCA Results'!$P$4=1,VLOOKUP(CONCATENATE('DGNB LCA Results'!$M$3,"_",Q385), $A$2:$P$352,15,FALSE)*'DGNB LCA Results'!$N$3,0))))</f>
        <v>0</v>
      </c>
      <c r="P385" s="121">
        <f>IF('DGNB LCA Results'!$P$4=4,VLOOKUP(CONCATENATE('DGNB LCA Results'!$M$3,"_",Q385), $A$2:$P$352,16,FALSE)*'DGNB LCA Results'!$N$3+
                                                                  VLOOKUP(CONCATENATE('DGNB LCA Results'!$K$3,"_",Q385), $A$2:$P$352,16,FALSE)*'DGNB LCA Results'!$L$3+
                                                                  VLOOKUP(CONCATENATE('DGNB LCA Results'!$I$3,"_",Q385), $A$2:$P$352,16,FALSE)*'DGNB LCA Results'!$J$3+
                                                                  VLOOKUP(CONCATENATE('DGNB LCA Results'!$G$3,"_",Q385), $A$2:$P$352,16,FALSE)*'DGNB LCA Results'!$H$3,
IF('DGNB LCA Results'!$P$4=3,VLOOKUP(CONCATENATE('DGNB LCA Results'!$M$3,"_",Q385), $A$2:$P$352,16,FALSE)*'DGNB LCA Results'!$N$3+
                                                                VLOOKUP(CONCATENATE('DGNB LCA Results'!$K$3,"_",Q385), $A$2:$P$352,16,FALSE)*'DGNB LCA Results'!$L$3+
                                                                VLOOKUP(CONCATENATE('DGNB LCA Results'!$I$3,"_",Q385),$A$2:$P$352,16,FALSE)*'DGNB LCA Results'!$J$3,
IF('DGNB LCA Results'!$P$4=2,VLOOKUP(CONCATENATE('DGNB LCA Results'!$M$3,"_",Q385), $A$2:$P$352,16,FALSE)*'DGNB LCA Results'!$N$3+
                                                                 VLOOKUP(CONCATENATE('DGNB LCA Results'!$K$3,"_",Q385),$A$2:$P$352,16,FALSE)*'DGNB LCA Results'!$L$3,
IF('DGNB LCA Results'!$P$4=1,VLOOKUP(CONCATENATE('DGNB LCA Results'!$M$3,"_",Q385), $A$2:$P$352,16,FALSE)*'DGNB LCA Results'!$N$3,0))))</f>
        <v>0</v>
      </c>
      <c r="Q385">
        <v>80</v>
      </c>
      <c r="R385" t="s">
        <v>194</v>
      </c>
    </row>
    <row r="386" spans="1:18" x14ac:dyDescent="0.2">
      <c r="A386" t="str">
        <f t="shared" si="8"/>
        <v>MIX15_90</v>
      </c>
      <c r="B386" s="120">
        <f>IF('DGNB LCA Results'!$P$4=4,VLOOKUP(CONCATENATE('DGNB LCA Results'!$M$3,"_",Q386), $A$2:$P$352,2,FALSE)*'DGNB LCA Results'!$N$3+
                                                                  VLOOKUP(CONCATENATE('DGNB LCA Results'!$K$3,"_",Q386), $A$2:$P$352,2,FALSE)*'DGNB LCA Results'!$L$3+
                                                                  VLOOKUP(CONCATENATE('DGNB LCA Results'!$I$3,"_",Q386), $A$2:$P$352,2,FALSE)*'DGNB LCA Results'!$J$3+
                                                                  VLOOKUP(CONCATENATE('DGNB LCA Results'!$G$3,"_",Q386), $A$2:$P$352,2,FALSE)*'DGNB LCA Results'!$H$3,
IF('DGNB LCA Results'!$P$4=3,VLOOKUP(CONCATENATE('DGNB LCA Results'!$M$3,"_",Q386), $A$2:$P$352,2,FALSE)*'DGNB LCA Results'!$N$3+
                                                                VLOOKUP(CONCATENATE('DGNB LCA Results'!$K$3,"_",Q386), $A$2:$P$352,2,FALSE)*'DGNB LCA Results'!$L$3+
                                                                VLOOKUP(CONCATENATE('DGNB LCA Results'!$I$3,"_",Q386),$A$2:$P$352,2,FALSE)*'DGNB LCA Results'!$J$3,
IF('DGNB LCA Results'!$P$4=2,VLOOKUP(CONCATENATE('DGNB LCA Results'!$M$3,"_",Q386), $A$2:$P$352,2,FALSE)*'DGNB LCA Results'!$N$3+
                                                                 VLOOKUP(CONCATENATE('DGNB LCA Results'!$K$3,"_",Q386),$A$2:$P$352,2,FALSE)*'DGNB LCA Results'!$L$3,
IF('DGNB LCA Results'!$P$4=1,VLOOKUP(CONCATENATE('DGNB LCA Results'!$M$3,"_",Q386), $A$2:$P$352,2,FALSE)*'DGNB LCA Results'!$N$3,0))))</f>
        <v>0</v>
      </c>
      <c r="C386" s="49">
        <f>IF('DGNB LCA Results'!$P$4=4,VLOOKUP(CONCATENATE('DGNB LCA Results'!$M$3,"_",Q386), $A$2:$P$352,3,FALSE)*'DGNB LCA Results'!$N$3+
                                                                  VLOOKUP(CONCATENATE('DGNB LCA Results'!$K$3,"_",Q386), $A$2:$P$352,3,FALSE)*'DGNB LCA Results'!$L$3+
                                                                  VLOOKUP(CONCATENATE('DGNB LCA Results'!$I$3,"_",Q386), $A$2:$P$352,3,FALSE)*'DGNB LCA Results'!$J$3+
                                                                  VLOOKUP(CONCATENATE('DGNB LCA Results'!$G$3,"_",Q386), $A$2:$P$352,3,FALSE)*'DGNB LCA Results'!$H$3,
IF('DGNB LCA Results'!$P$4=3,VLOOKUP(CONCATENATE('DGNB LCA Results'!$M$3,"_",Q386), $A$2:$P$352,3,FALSE)*'DGNB LCA Results'!$N$3+
                                                                VLOOKUP(CONCATENATE('DGNB LCA Results'!$K$3,"_",Q386), $A$2:$P$352,3,FALSE)*'DGNB LCA Results'!$L$3+
                                                                VLOOKUP(CONCATENATE('DGNB LCA Results'!$I$3,"_",Q386),$A$2:$P$352,3,FALSE)*'DGNB LCA Results'!$J$3,
IF('DGNB LCA Results'!$P$4=2,VLOOKUP(CONCATENATE('DGNB LCA Results'!$M$3,"_",Q386), $A$2:$P$352,3,FALSE)*'DGNB LCA Results'!$N$3+
                                                                 VLOOKUP(CONCATENATE('DGNB LCA Results'!$K$3,"_",Q386),$A$2:$P$352,3,FALSE)*'DGNB LCA Results'!$L$3,
IF('DGNB LCA Results'!$P$4=1,VLOOKUP(CONCATENATE('DGNB LCA Results'!$M$3,"_",Q386), $A$2:$P$352,3,FALSE)*'DGNB LCA Results'!$N$3,0))))</f>
        <v>0</v>
      </c>
      <c r="D386" s="49">
        <f>IF('DGNB LCA Results'!$P$4=4,VLOOKUP(CONCATENATE('DGNB LCA Results'!$M$3,"_",Q386), $A$2:$P$352,4,FALSE)*'DGNB LCA Results'!$N$3+
                                                                  VLOOKUP(CONCATENATE('DGNB LCA Results'!$K$3,"_",Q386), $A$2:$P$352,4,FALSE)*'DGNB LCA Results'!$L$3+
                                                                  VLOOKUP(CONCATENATE('DGNB LCA Results'!$I$3,"_",Q386), $A$2:$P$352,4,FALSE)*'DGNB LCA Results'!$J$3+
                                                                  VLOOKUP(CONCATENATE('DGNB LCA Results'!$G$3,"_",Q386), $A$2:$P$352,4,FALSE)*'DGNB LCA Results'!$H$3,
IF('DGNB LCA Results'!$P$4=3,VLOOKUP(CONCATENATE('DGNB LCA Results'!$M$3,"_",Q386), $A$2:$P$352,4,FALSE)*'DGNB LCA Results'!$N$3+
                                                                VLOOKUP(CONCATENATE('DGNB LCA Results'!$K$3,"_",Q386), $A$2:$P$352,4,FALSE)*'DGNB LCA Results'!$L$3+
                                                                VLOOKUP(CONCATENATE('DGNB LCA Results'!$I$3,"_",Q386),$A$2:$P$352,4,FALSE)*'DGNB LCA Results'!$J$3,
IF('DGNB LCA Results'!$P$4=2,VLOOKUP(CONCATENATE('DGNB LCA Results'!$M$3,"_",Q386), $A$2:$P$352,4,FALSE)*'DGNB LCA Results'!$N$3+
                                                                 VLOOKUP(CONCATENATE('DGNB LCA Results'!$K$3,"_",Q386),$A$2:$P$352,4,FALSE)*'DGNB LCA Results'!$L$3,
IF('DGNB LCA Results'!$P$4=1,VLOOKUP(CONCATENATE('DGNB LCA Results'!$M$3,"_",Q386), $A$2:$P$352,4,FALSE)*'DGNB LCA Results'!$N$3,0))))</f>
        <v>0</v>
      </c>
      <c r="E386" s="120">
        <f>IF('DGNB LCA Results'!$P$4=4,VLOOKUP(CONCATENATE('DGNB LCA Results'!$M$3,"_",Q386), $A$2:$P$352,5,FALSE)*'DGNB LCA Results'!$N$3+
                                                                  VLOOKUP(CONCATENATE('DGNB LCA Results'!$K$3,"_",Q386), $A$2:$P$352,5,FALSE)*'DGNB LCA Results'!$L$3+
                                                                  VLOOKUP(CONCATENATE('DGNB LCA Results'!$I$3,"_",Q386), $A$2:$P$352,5,FALSE)*'DGNB LCA Results'!$J$3+
                                                                  VLOOKUP(CONCATENATE('DGNB LCA Results'!$G$3,"_",Q386), $A$2:$P$352,5,FALSE)*'DGNB LCA Results'!$H$3,
IF('DGNB LCA Results'!$P$4=3,VLOOKUP(CONCATENATE('DGNB LCA Results'!$M$3,"_",Q386), $A$2:$P$352,5,FALSE)*'DGNB LCA Results'!$N$3+
                                                                VLOOKUP(CONCATENATE('DGNB LCA Results'!$K$3,"_",Q386), $A$2:$P$352,5,FALSE)*'DGNB LCA Results'!$L$3+
                                                                VLOOKUP(CONCATENATE('DGNB LCA Results'!$I$3,"_",Q386),$A$2:$P$352,5,FALSE)*'DGNB LCA Results'!$J$3,
IF('DGNB LCA Results'!$P$4=2,VLOOKUP(CONCATENATE('DGNB LCA Results'!$M$3,"_",Q386), $A$2:$P$352,5,FALSE)*'DGNB LCA Results'!$N$3+
                                                                 VLOOKUP(CONCATENATE('DGNB LCA Results'!$K$3,"_",Q386),$A$2:$P$352,5,FALSE)*'DGNB LCA Results'!$L$3,
IF('DGNB LCA Results'!$P$4=1,VLOOKUP(CONCATENATE('DGNB LCA Results'!$M$3,"_",Q386), $A$2:$P$352,5,FALSE)*'DGNB LCA Results'!$N$3,0))))</f>
        <v>0</v>
      </c>
      <c r="F386" s="47">
        <f>IF('DGNB LCA Results'!$P$4=4,VLOOKUP(CONCATENATE('DGNB LCA Results'!$M$3,"_",Q386), $A$2:$P$352,6,FALSE)*'DGNB LCA Results'!$N$3+
                                                                  VLOOKUP(CONCATENATE('DGNB LCA Results'!$K$3,"_",Q386), $A$2:$P$352,6,FALSE)*'DGNB LCA Results'!$L$3+
                                                                  VLOOKUP(CONCATENATE('DGNB LCA Results'!$I$3,"_",Q386), $A$2:$P$352,6,FALSE)*'DGNB LCA Results'!$J$3+
                                                                  VLOOKUP(CONCATENATE('DGNB LCA Results'!$G$3,"_",Q386), $A$2:$P$352,6,FALSE)*'DGNB LCA Results'!$H$3,
IF('DGNB LCA Results'!$P$4=3,VLOOKUP(CONCATENATE('DGNB LCA Results'!$M$3,"_",Q386), $A$2:$P$352,6,FALSE)*'DGNB LCA Results'!$N$3+
                                                                VLOOKUP(CONCATENATE('DGNB LCA Results'!$K$3,"_",Q386), $A$2:$P$352,6,FALSE)*'DGNB LCA Results'!$L$3+
                                                                VLOOKUP(CONCATENATE('DGNB LCA Results'!$I$3,"_",Q386),$A$2:$P$352,6,FALSE)*'DGNB LCA Results'!$J$3,
IF('DGNB LCA Results'!$P$4=2,VLOOKUP(CONCATENATE('DGNB LCA Results'!$M$3,"_",Q386), $A$2:$P$352,6,FALSE)*'DGNB LCA Results'!$N$3+
                                                                 VLOOKUP(CONCATENATE('DGNB LCA Results'!$K$3,"_",Q386),$A$2:$P$352,6,FALSE)*'DGNB LCA Results'!$L$3,
IF('DGNB LCA Results'!$P$4=1,VLOOKUP(CONCATENATE('DGNB LCA Results'!$M$3,"_",Q386), $A$2:$P$352,6,FALSE)*'DGNB LCA Results'!$N$3,0))))</f>
        <v>0</v>
      </c>
      <c r="G386" s="121">
        <f>IF('DGNB LCA Results'!$P$4=4,VLOOKUP(CONCATENATE('DGNB LCA Results'!$M$3,"_",Q386), $A$2:$P$352,7,FALSE)*'DGNB LCA Results'!$N$3+
                                                                  VLOOKUP(CONCATENATE('DGNB LCA Results'!$K$3,"_",Q386), $A$2:$P$352,7,FALSE)*'DGNB LCA Results'!$L$3+
                                                                  VLOOKUP(CONCATENATE('DGNB LCA Results'!$I$3,"_",Q386), $A$2:$P$352,7,FALSE)*'DGNB LCA Results'!$J$3+
                                                                  VLOOKUP(CONCATENATE('DGNB LCA Results'!$G$3,"_",Q386), $A$2:$P$352,7,FALSE)*'DGNB LCA Results'!$H$3,
IF('DGNB LCA Results'!$P$4=3,VLOOKUP(CONCATENATE('DGNB LCA Results'!$M$3,"_",Q386), $A$2:$P$352,7,FALSE)*'DGNB LCA Results'!$N$3+
                                                                VLOOKUP(CONCATENATE('DGNB LCA Results'!$K$3,"_",Q386), $A$2:$P$352,7,FALSE)*'DGNB LCA Results'!$L$3+
                                                                VLOOKUP(CONCATENATE('DGNB LCA Results'!$I$3,"_",Q386),$A$2:$P$352,7,FALSE)*'DGNB LCA Results'!$J$3,
IF('DGNB LCA Results'!$P$4=2,VLOOKUP(CONCATENATE('DGNB LCA Results'!$M$3,"_",Q386), $A$2:$P$352,7,FALSE)*'DGNB LCA Results'!$N$3+
                                                                 VLOOKUP(CONCATENATE('DGNB LCA Results'!$K$3,"_",Q386),$A$2:$P$352,7,FALSE)*'DGNB LCA Results'!$L$3,
IF('DGNB LCA Results'!$P$4=1,VLOOKUP(CONCATENATE('DGNB LCA Results'!$M$3,"_",Q386), $A$2:$P$352,7,FALSE)*'DGNB LCA Results'!$N$3,0))))</f>
        <v>0</v>
      </c>
      <c r="H386" s="120">
        <f>IF('DGNB LCA Results'!$P$4=4,VLOOKUP(CONCATENATE('DGNB LCA Results'!$M$3,"_",Q386), $A$2:$P$352,8,FALSE)*'DGNB LCA Results'!$N$3+
                                                                  VLOOKUP(CONCATENATE('DGNB LCA Results'!$K$3,"_",Q386), $A$2:$P$352,8,FALSE)*'DGNB LCA Results'!$L$3+
                                                                  VLOOKUP(CONCATENATE('DGNB LCA Results'!$I$3,"_",Q386), $A$2:$P$352,8,FALSE)*'DGNB LCA Results'!$J$3+
                                                                  VLOOKUP(CONCATENATE('DGNB LCA Results'!$G$3,"_",Q386), $A$2:$P$352,8,FALSE)*'DGNB LCA Results'!$H$3,
IF('DGNB LCA Results'!$P$4=3,VLOOKUP(CONCATENATE('DGNB LCA Results'!$M$3,"_",Q386), $A$2:$P$352,8,FALSE)*'DGNB LCA Results'!$N$3+
                                                                VLOOKUP(CONCATENATE('DGNB LCA Results'!$K$3,"_",Q386), $A$2:$P$352,8,FALSE)*'DGNB LCA Results'!$L$3+
                                                                VLOOKUP(CONCATENATE('DGNB LCA Results'!$I$3,"_",Q386),$A$2:$P$352,8,FALSE)*'DGNB LCA Results'!$J$3,
IF('DGNB LCA Results'!$P$4=2,VLOOKUP(CONCATENATE('DGNB LCA Results'!$M$3,"_",Q386), $A$2:$P$352,8,FALSE)*'DGNB LCA Results'!$N$3+
                                                                 VLOOKUP(CONCATENATE('DGNB LCA Results'!$K$3,"_",Q386),$A$2:$P$352,8,FALSE)*'DGNB LCA Results'!$L$3,
IF('DGNB LCA Results'!$P$4=1,VLOOKUP(CONCATENATE('DGNB LCA Results'!$M$3,"_",Q386), $A$2:$P$352,8,FALSE)*'DGNB LCA Results'!$N$3,0))))</f>
        <v>0</v>
      </c>
      <c r="I386" s="47">
        <f>IF('DGNB LCA Results'!$P$4=4,VLOOKUP(CONCATENATE('DGNB LCA Results'!$M$3,"_",Q386), $A$2:$P$352,9,FALSE)*'DGNB LCA Results'!$N$3+
                                                                  VLOOKUP(CONCATENATE('DGNB LCA Results'!$K$3,"_",Q386), $A$2:$P$352,9,FALSE)*'DGNB LCA Results'!$L$3+
                                                                  VLOOKUP(CONCATENATE('DGNB LCA Results'!$I$3,"_",Q386), $A$2:$P$352,9,FALSE)*'DGNB LCA Results'!$J$3+
                                                                  VLOOKUP(CONCATENATE('DGNB LCA Results'!$G$3,"_",Q386), $A$2:$P$352,9,FALSE)*'DGNB LCA Results'!$H$3,
IF('DGNB LCA Results'!$P$4=3,VLOOKUP(CONCATENATE('DGNB LCA Results'!$M$3,"_",Q386), $A$2:$P$352,9,FALSE)*'DGNB LCA Results'!$N$3+
                                                                VLOOKUP(CONCATENATE('DGNB LCA Results'!$K$3,"_",Q386), $A$2:$P$352,9,FALSE)*'DGNB LCA Results'!$L$3+
                                                                VLOOKUP(CONCATENATE('DGNB LCA Results'!$I$3,"_",Q386),$A$2:$P$352,9,FALSE)*'DGNB LCA Results'!$J$3,
IF('DGNB LCA Results'!$P$4=2,VLOOKUP(CONCATENATE('DGNB LCA Results'!$M$3,"_",Q386), $A$2:$P$352,9,FALSE)*'DGNB LCA Results'!$N$3+
                                                                 VLOOKUP(CONCATENATE('DGNB LCA Results'!$K$3,"_",Q386),$A$2:$P$352,9,FALSE)*'DGNB LCA Results'!$L$3,
IF('DGNB LCA Results'!$P$4=1,VLOOKUP(CONCATENATE('DGNB LCA Results'!$M$3,"_",Q386), $A$2:$P$352,9,FALSE)*'DGNB LCA Results'!$N$3,0))))</f>
        <v>0</v>
      </c>
      <c r="J386" s="121">
        <f>IF('DGNB LCA Results'!$P$4=4,VLOOKUP(CONCATENATE('DGNB LCA Results'!$M$3,"_",Q386), $A$2:$P$352,10,FALSE)*'DGNB LCA Results'!$N$3+
                                                                  VLOOKUP(CONCATENATE('DGNB LCA Results'!$K$3,"_",Q386), $A$2:$P$352,10,FALSE)*'DGNB LCA Results'!$L$3+
                                                                  VLOOKUP(CONCATENATE('DGNB LCA Results'!$I$3,"_",Q386), $A$2:$P$352,10,FALSE)*'DGNB LCA Results'!$J$3+
                                                                  VLOOKUP(CONCATENATE('DGNB LCA Results'!$G$3,"_",Q386), $A$2:$P$352,10,FALSE)*'DGNB LCA Results'!$H$3,
IF('DGNB LCA Results'!$P$4=3,VLOOKUP(CONCATENATE('DGNB LCA Results'!$M$3,"_",Q386), $A$2:$P$352,10,FALSE)*'DGNB LCA Results'!$N$3+
                                                                VLOOKUP(CONCATENATE('DGNB LCA Results'!$K$3,"_",Q386), $A$2:$P$352,10,FALSE)*'DGNB LCA Results'!$L$3+
                                                                VLOOKUP(CONCATENATE('DGNB LCA Results'!$I$3,"_",Q386),$A$2:$P$352,10,FALSE)*'DGNB LCA Results'!$J$3,
IF('DGNB LCA Results'!$P$4=2,VLOOKUP(CONCATENATE('DGNB LCA Results'!$M$3,"_",Q386), $A$2:$P$352,10,FALSE)*'DGNB LCA Results'!$N$3+
                                                                 VLOOKUP(CONCATENATE('DGNB LCA Results'!$K$3,"_",Q386),$A$2:$P$352,10,FALSE)*'DGNB LCA Results'!$L$3,
IF('DGNB LCA Results'!$P$4=1,VLOOKUP(CONCATENATE('DGNB LCA Results'!$M$3,"_",Q386), $A$2:$P$352,10,FALSE)*'DGNB LCA Results'!$N$3,0))))</f>
        <v>0</v>
      </c>
      <c r="K386" s="120">
        <f>IF('DGNB LCA Results'!$P$4=4,VLOOKUP(CONCATENATE('DGNB LCA Results'!$M$3,"_",Q386), $A$2:$P$352,11,FALSE)*'DGNB LCA Results'!$N$3+
                                                                  VLOOKUP(CONCATENATE('DGNB LCA Results'!$K$3,"_",Q386), $A$2:$P$352,11,FALSE)*'DGNB LCA Results'!$L$3+
                                                                  VLOOKUP(CONCATENATE('DGNB LCA Results'!$I$3,"_",Q386), $A$2:$P$352,11,FALSE)*'DGNB LCA Results'!$J$3+
                                                                  VLOOKUP(CONCATENATE('DGNB LCA Results'!$G$3,"_",Q386), $A$2:$P$352,11,FALSE)*'DGNB LCA Results'!$H$3,
IF('DGNB LCA Results'!$P$4=3,VLOOKUP(CONCATENATE('DGNB LCA Results'!$M$3,"_",Q386), $A$2:$P$352,11,FALSE)*'DGNB LCA Results'!$N$3+
                                                                VLOOKUP(CONCATENATE('DGNB LCA Results'!$K$3,"_",Q386), $A$2:$P$352,11,FALSE)*'DGNB LCA Results'!$L$3+
                                                                VLOOKUP(CONCATENATE('DGNB LCA Results'!$I$3,"_",Q386),$A$2:$P$352,11,FALSE)*'DGNB LCA Results'!$J$3,
IF('DGNB LCA Results'!$P$4=2,VLOOKUP(CONCATENATE('DGNB LCA Results'!$M$3,"_",Q386), $A$2:$P$352,11,FALSE)*'DGNB LCA Results'!$N$3+
                                                                 VLOOKUP(CONCATENATE('DGNB LCA Results'!$K$3,"_",Q386),$A$2:$P$352,11,FALSE)*'DGNB LCA Results'!$L$3,
IF('DGNB LCA Results'!$P$4=1,VLOOKUP(CONCATENATE('DGNB LCA Results'!$M$3,"_",Q386), $A$2:$P$352,11,FALSE)*'DGNB LCA Results'!$N$3,0))))</f>
        <v>0</v>
      </c>
      <c r="L386" s="47">
        <f>IF('DGNB LCA Results'!$P$4=4,VLOOKUP(CONCATENATE('DGNB LCA Results'!$M$3,"_",Q386), $A$2:$P$352,12,FALSE)*'DGNB LCA Results'!$N$3+
                                                                  VLOOKUP(CONCATENATE('DGNB LCA Results'!$K$3,"_",Q386), $A$2:$P$352,12,FALSE)*'DGNB LCA Results'!$L$3+
                                                                  VLOOKUP(CONCATENATE('DGNB LCA Results'!$I$3,"_",Q386), $A$2:$P$352,12,FALSE)*'DGNB LCA Results'!$J$3+
                                                                  VLOOKUP(CONCATENATE('DGNB LCA Results'!$G$3,"_",Q386), $A$2:$P$352,12,FALSE)*'DGNB LCA Results'!$H$3,
IF('DGNB LCA Results'!$P$4=3,VLOOKUP(CONCATENATE('DGNB LCA Results'!$M$3,"_",Q386), $A$2:$P$352,12,FALSE)*'DGNB LCA Results'!$N$3+
                                                                VLOOKUP(CONCATENATE('DGNB LCA Results'!$K$3,"_",Q386), $A$2:$P$352,12,FALSE)*'DGNB LCA Results'!$L$3+
                                                                VLOOKUP(CONCATENATE('DGNB LCA Results'!$I$3,"_",Q386),$A$2:$P$352,12,FALSE)*'DGNB LCA Results'!$J$3,
IF('DGNB LCA Results'!$P$4=2,VLOOKUP(CONCATENATE('DGNB LCA Results'!$M$3,"_",Q386), $A$2:$P$352,12,FALSE)*'DGNB LCA Results'!$N$3+
                                                                 VLOOKUP(CONCATENATE('DGNB LCA Results'!$K$3,"_",Q386),$A$2:$P$352,12,FALSE)*'DGNB LCA Results'!$L$3,
IF('DGNB LCA Results'!$P$4=1,VLOOKUP(CONCATENATE('DGNB LCA Results'!$M$3,"_",Q386), $A$2:$P$352,12,FALSE)*'DGNB LCA Results'!$N$3,0))))</f>
        <v>0</v>
      </c>
      <c r="M386" s="121">
        <f>IF('DGNB LCA Results'!$P$4=4,VLOOKUP(CONCATENATE('DGNB LCA Results'!$M$3,"_",Q386), $A$2:$P$352,13,FALSE)*'DGNB LCA Results'!$N$3+
                                                                  VLOOKUP(CONCATENATE('DGNB LCA Results'!$K$3,"_",Q386), $A$2:$P$352,13,FALSE)*'DGNB LCA Results'!$L$3+
                                                                  VLOOKUP(CONCATENATE('DGNB LCA Results'!$I$3,"_",Q386), $A$2:$P$352,13,FALSE)*'DGNB LCA Results'!$J$3+
                                                                  VLOOKUP(CONCATENATE('DGNB LCA Results'!$G$3,"_",Q386), $A$2:$P$352,13,FALSE)*'DGNB LCA Results'!$H$3,
IF('DGNB LCA Results'!$P$4=3,VLOOKUP(CONCATENATE('DGNB LCA Results'!$M$3,"_",Q386), $A$2:$P$352,13,FALSE)*'DGNB LCA Results'!$N$3+
                                                                VLOOKUP(CONCATENATE('DGNB LCA Results'!$K$3,"_",Q386), $A$2:$P$352,13,FALSE)*'DGNB LCA Results'!$L$3+
                                                                VLOOKUP(CONCATENATE('DGNB LCA Results'!$I$3,"_",Q386),$A$2:$P$352,13,FALSE)*'DGNB LCA Results'!$J$3,
IF('DGNB LCA Results'!$P$4=2,VLOOKUP(CONCATENATE('DGNB LCA Results'!$M$3,"_",Q386), $A$2:$P$352,13,FALSE)*'DGNB LCA Results'!$N$3+
                                                                 VLOOKUP(CONCATENATE('DGNB LCA Results'!$K$3,"_",Q386),$A$2:$P$352,13,FALSE)*'DGNB LCA Results'!$L$3,
IF('DGNB LCA Results'!$P$4=1,VLOOKUP(CONCATENATE('DGNB LCA Results'!$M$3,"_",Q386), $A$2:$P$352,13,FALSE)*'DGNB LCA Results'!$N$3,0))))</f>
        <v>0</v>
      </c>
      <c r="N386" s="120">
        <f>IF('DGNB LCA Results'!$P$4=4,VLOOKUP(CONCATENATE('DGNB LCA Results'!$M$3,"_",Q386), $A$2:$P$352,14,FALSE)*'DGNB LCA Results'!$N$3+
                                                                  VLOOKUP(CONCATENATE('DGNB LCA Results'!$K$3,"_",Q386), $A$2:$P$352,14,FALSE)*'DGNB LCA Results'!$L$3+
                                                                  VLOOKUP(CONCATENATE('DGNB LCA Results'!$I$3,"_",Q386), $A$2:$P$352,14,FALSE)*'DGNB LCA Results'!$J$3+
                                                                  VLOOKUP(CONCATENATE('DGNB LCA Results'!$G$3,"_",Q386), $A$2:$P$352,14,FALSE)*'DGNB LCA Results'!$H$3,
IF('DGNB LCA Results'!$P$4=3,VLOOKUP(CONCATENATE('DGNB LCA Results'!$M$3,"_",Q386), $A$2:$P$352,14,FALSE)*'DGNB LCA Results'!$N$3+
                                                                VLOOKUP(CONCATENATE('DGNB LCA Results'!$K$3,"_",Q386), $A$2:$P$352,14,FALSE)*'DGNB LCA Results'!$L$3+
                                                                VLOOKUP(CONCATENATE('DGNB LCA Results'!$I$3,"_",Q386),$A$2:$P$352,14,FALSE)*'DGNB LCA Results'!$J$3,
IF('DGNB LCA Results'!$P$4=2,VLOOKUP(CONCATENATE('DGNB LCA Results'!$M$3,"_",Q386), $A$2:$P$352,14,FALSE)*'DGNB LCA Results'!$N$3+
                                                                 VLOOKUP(CONCATENATE('DGNB LCA Results'!$K$3,"_",Q386),$A$2:$P$352,14,FALSE)*'DGNB LCA Results'!$L$3,
IF('DGNB LCA Results'!$P$4=1,VLOOKUP(CONCATENATE('DGNB LCA Results'!$M$3,"_",Q386), $A$2:$P$352,14,FALSE)*'DGNB LCA Results'!$N$3,0))))</f>
        <v>0</v>
      </c>
      <c r="O386" s="47">
        <f>IF('DGNB LCA Results'!$P$4=4,VLOOKUP(CONCATENATE('DGNB LCA Results'!$M$3,"_",Q386), $A$2:$P$352,15,FALSE)*'DGNB LCA Results'!$N$3+
                                                                  VLOOKUP(CONCATENATE('DGNB LCA Results'!$K$3,"_",Q386), $A$2:$P$352,15,FALSE)*'DGNB LCA Results'!$L$3+
                                                                  VLOOKUP(CONCATENATE('DGNB LCA Results'!$I$3,"_",Q386), $A$2:$P$352,15,FALSE)*'DGNB LCA Results'!$J$3+
                                                                  VLOOKUP(CONCATENATE('DGNB LCA Results'!$G$3,"_",Q386), $A$2:$P$352,15,FALSE)*'DGNB LCA Results'!$H$3,
IF('DGNB LCA Results'!$P$4=3,VLOOKUP(CONCATENATE('DGNB LCA Results'!$M$3,"_",Q386), $A$2:$P$352,15,FALSE)*'DGNB LCA Results'!$N$3+
                                                                VLOOKUP(CONCATENATE('DGNB LCA Results'!$K$3,"_",Q386), $A$2:$P$352,15,FALSE)*'DGNB LCA Results'!$L$3+
                                                                VLOOKUP(CONCATENATE('DGNB LCA Results'!$I$3,"_",Q386),$A$2:$P$352,15,FALSE)*'DGNB LCA Results'!$J$3,
IF('DGNB LCA Results'!$P$4=2,VLOOKUP(CONCATENATE('DGNB LCA Results'!$M$3,"_",Q386), $A$2:$P$352,15,FALSE)*'DGNB LCA Results'!$N$3+
                                                                 VLOOKUP(CONCATENATE('DGNB LCA Results'!$K$3,"_",Q386),$A$2:$P$352,15,FALSE)*'DGNB LCA Results'!$L$3,
IF('DGNB LCA Results'!$P$4=1,VLOOKUP(CONCATENATE('DGNB LCA Results'!$M$3,"_",Q386), $A$2:$P$352,15,FALSE)*'DGNB LCA Results'!$N$3,0))))</f>
        <v>0</v>
      </c>
      <c r="P386" s="121">
        <f>IF('DGNB LCA Results'!$P$4=4,VLOOKUP(CONCATENATE('DGNB LCA Results'!$M$3,"_",Q386), $A$2:$P$352,16,FALSE)*'DGNB LCA Results'!$N$3+
                                                                  VLOOKUP(CONCATENATE('DGNB LCA Results'!$K$3,"_",Q386), $A$2:$P$352,16,FALSE)*'DGNB LCA Results'!$L$3+
                                                                  VLOOKUP(CONCATENATE('DGNB LCA Results'!$I$3,"_",Q386), $A$2:$P$352,16,FALSE)*'DGNB LCA Results'!$J$3+
                                                                  VLOOKUP(CONCATENATE('DGNB LCA Results'!$G$3,"_",Q386), $A$2:$P$352,16,FALSE)*'DGNB LCA Results'!$H$3,
IF('DGNB LCA Results'!$P$4=3,VLOOKUP(CONCATENATE('DGNB LCA Results'!$M$3,"_",Q386), $A$2:$P$352,16,FALSE)*'DGNB LCA Results'!$N$3+
                                                                VLOOKUP(CONCATENATE('DGNB LCA Results'!$K$3,"_",Q386), $A$2:$P$352,16,FALSE)*'DGNB LCA Results'!$L$3+
                                                                VLOOKUP(CONCATENATE('DGNB LCA Results'!$I$3,"_",Q386),$A$2:$P$352,16,FALSE)*'DGNB LCA Results'!$J$3,
IF('DGNB LCA Results'!$P$4=2,VLOOKUP(CONCATENATE('DGNB LCA Results'!$M$3,"_",Q386), $A$2:$P$352,16,FALSE)*'DGNB LCA Results'!$N$3+
                                                                 VLOOKUP(CONCATENATE('DGNB LCA Results'!$K$3,"_",Q386),$A$2:$P$352,16,FALSE)*'DGNB LCA Results'!$L$3,
IF('DGNB LCA Results'!$P$4=1,VLOOKUP(CONCATENATE('DGNB LCA Results'!$M$3,"_",Q386), $A$2:$P$352,16,FALSE)*'DGNB LCA Results'!$N$3,0))))</f>
        <v>0</v>
      </c>
      <c r="Q386">
        <v>90</v>
      </c>
      <c r="R386" t="s">
        <v>194</v>
      </c>
    </row>
    <row r="387" spans="1:18" x14ac:dyDescent="0.2">
      <c r="A387" t="str">
        <f t="shared" si="8"/>
        <v>MIX15_100</v>
      </c>
      <c r="B387" s="120">
        <f>IF('DGNB LCA Results'!$P$4=4,VLOOKUP(CONCATENATE('DGNB LCA Results'!$M$3,"_",Q387), $A$2:$P$352,2,FALSE)*'DGNB LCA Results'!$N$3+
                                                                  VLOOKUP(CONCATENATE('DGNB LCA Results'!$K$3,"_",Q387), $A$2:$P$352,2,FALSE)*'DGNB LCA Results'!$L$3+
                                                                  VLOOKUP(CONCATENATE('DGNB LCA Results'!$I$3,"_",Q387), $A$2:$P$352,2,FALSE)*'DGNB LCA Results'!$J$3+
                                                                  VLOOKUP(CONCATENATE('DGNB LCA Results'!$G$3,"_",Q387), $A$2:$P$352,2,FALSE)*'DGNB LCA Results'!$H$3,
IF('DGNB LCA Results'!$P$4=3,VLOOKUP(CONCATENATE('DGNB LCA Results'!$M$3,"_",Q387), $A$2:$P$352,2,FALSE)*'DGNB LCA Results'!$N$3+
                                                                VLOOKUP(CONCATENATE('DGNB LCA Results'!$K$3,"_",Q387), $A$2:$P$352,2,FALSE)*'DGNB LCA Results'!$L$3+
                                                                VLOOKUP(CONCATENATE('DGNB LCA Results'!$I$3,"_",Q387),$A$2:$P$352,2,FALSE)*'DGNB LCA Results'!$J$3,
IF('DGNB LCA Results'!$P$4=2,VLOOKUP(CONCATENATE('DGNB LCA Results'!$M$3,"_",Q387), $A$2:$P$352,2,FALSE)*'DGNB LCA Results'!$N$3+
                                                                 VLOOKUP(CONCATENATE('DGNB LCA Results'!$K$3,"_",Q387),$A$2:$P$352,2,FALSE)*'DGNB LCA Results'!$L$3,
IF('DGNB LCA Results'!$P$4=1,VLOOKUP(CONCATENATE('DGNB LCA Results'!$M$3,"_",Q387), $A$2:$P$352,2,FALSE)*'DGNB LCA Results'!$N$3,0))))</f>
        <v>0</v>
      </c>
      <c r="C387" s="49">
        <f>IF('DGNB LCA Results'!$P$4=4,VLOOKUP(CONCATENATE('DGNB LCA Results'!$M$3,"_",Q387), $A$2:$P$352,3,FALSE)*'DGNB LCA Results'!$N$3+
                                                                  VLOOKUP(CONCATENATE('DGNB LCA Results'!$K$3,"_",Q387), $A$2:$P$352,3,FALSE)*'DGNB LCA Results'!$L$3+
                                                                  VLOOKUP(CONCATENATE('DGNB LCA Results'!$I$3,"_",Q387), $A$2:$P$352,3,FALSE)*'DGNB LCA Results'!$J$3+
                                                                  VLOOKUP(CONCATENATE('DGNB LCA Results'!$G$3,"_",Q387), $A$2:$P$352,3,FALSE)*'DGNB LCA Results'!$H$3,
IF('DGNB LCA Results'!$P$4=3,VLOOKUP(CONCATENATE('DGNB LCA Results'!$M$3,"_",Q387), $A$2:$P$352,3,FALSE)*'DGNB LCA Results'!$N$3+
                                                                VLOOKUP(CONCATENATE('DGNB LCA Results'!$K$3,"_",Q387), $A$2:$P$352,3,FALSE)*'DGNB LCA Results'!$L$3+
                                                                VLOOKUP(CONCATENATE('DGNB LCA Results'!$I$3,"_",Q387),$A$2:$P$352,3,FALSE)*'DGNB LCA Results'!$J$3,
IF('DGNB LCA Results'!$P$4=2,VLOOKUP(CONCATENATE('DGNB LCA Results'!$M$3,"_",Q387), $A$2:$P$352,3,FALSE)*'DGNB LCA Results'!$N$3+
                                                                 VLOOKUP(CONCATENATE('DGNB LCA Results'!$K$3,"_",Q387),$A$2:$P$352,3,FALSE)*'DGNB LCA Results'!$L$3,
IF('DGNB LCA Results'!$P$4=1,VLOOKUP(CONCATENATE('DGNB LCA Results'!$M$3,"_",Q387), $A$2:$P$352,3,FALSE)*'DGNB LCA Results'!$N$3,0))))</f>
        <v>0</v>
      </c>
      <c r="D387" s="49">
        <f>IF('DGNB LCA Results'!$P$4=4,VLOOKUP(CONCATENATE('DGNB LCA Results'!$M$3,"_",Q387), $A$2:$P$352,4,FALSE)*'DGNB LCA Results'!$N$3+
                                                                  VLOOKUP(CONCATENATE('DGNB LCA Results'!$K$3,"_",Q387), $A$2:$P$352,4,FALSE)*'DGNB LCA Results'!$L$3+
                                                                  VLOOKUP(CONCATENATE('DGNB LCA Results'!$I$3,"_",Q387), $A$2:$P$352,4,FALSE)*'DGNB LCA Results'!$J$3+
                                                                  VLOOKUP(CONCATENATE('DGNB LCA Results'!$G$3,"_",Q387), $A$2:$P$352,4,FALSE)*'DGNB LCA Results'!$H$3,
IF('DGNB LCA Results'!$P$4=3,VLOOKUP(CONCATENATE('DGNB LCA Results'!$M$3,"_",Q387), $A$2:$P$352,4,FALSE)*'DGNB LCA Results'!$N$3+
                                                                VLOOKUP(CONCATENATE('DGNB LCA Results'!$K$3,"_",Q387), $A$2:$P$352,4,FALSE)*'DGNB LCA Results'!$L$3+
                                                                VLOOKUP(CONCATENATE('DGNB LCA Results'!$I$3,"_",Q387),$A$2:$P$352,4,FALSE)*'DGNB LCA Results'!$J$3,
IF('DGNB LCA Results'!$P$4=2,VLOOKUP(CONCATENATE('DGNB LCA Results'!$M$3,"_",Q387), $A$2:$P$352,4,FALSE)*'DGNB LCA Results'!$N$3+
                                                                 VLOOKUP(CONCATENATE('DGNB LCA Results'!$K$3,"_",Q387),$A$2:$P$352,4,FALSE)*'DGNB LCA Results'!$L$3,
IF('DGNB LCA Results'!$P$4=1,VLOOKUP(CONCATENATE('DGNB LCA Results'!$M$3,"_",Q387), $A$2:$P$352,4,FALSE)*'DGNB LCA Results'!$N$3,0))))</f>
        <v>0</v>
      </c>
      <c r="E387" s="120">
        <f>IF('DGNB LCA Results'!$P$4=4,VLOOKUP(CONCATENATE('DGNB LCA Results'!$M$3,"_",Q387), $A$2:$P$352,5,FALSE)*'DGNB LCA Results'!$N$3+
                                                                  VLOOKUP(CONCATENATE('DGNB LCA Results'!$K$3,"_",Q387), $A$2:$P$352,5,FALSE)*'DGNB LCA Results'!$L$3+
                                                                  VLOOKUP(CONCATENATE('DGNB LCA Results'!$I$3,"_",Q387), $A$2:$P$352,5,FALSE)*'DGNB LCA Results'!$J$3+
                                                                  VLOOKUP(CONCATENATE('DGNB LCA Results'!$G$3,"_",Q387), $A$2:$P$352,5,FALSE)*'DGNB LCA Results'!$H$3,
IF('DGNB LCA Results'!$P$4=3,VLOOKUP(CONCATENATE('DGNB LCA Results'!$M$3,"_",Q387), $A$2:$P$352,5,FALSE)*'DGNB LCA Results'!$N$3+
                                                                VLOOKUP(CONCATENATE('DGNB LCA Results'!$K$3,"_",Q387), $A$2:$P$352,5,FALSE)*'DGNB LCA Results'!$L$3+
                                                                VLOOKUP(CONCATENATE('DGNB LCA Results'!$I$3,"_",Q387),$A$2:$P$352,5,FALSE)*'DGNB LCA Results'!$J$3,
IF('DGNB LCA Results'!$P$4=2,VLOOKUP(CONCATENATE('DGNB LCA Results'!$M$3,"_",Q387), $A$2:$P$352,5,FALSE)*'DGNB LCA Results'!$N$3+
                                                                 VLOOKUP(CONCATENATE('DGNB LCA Results'!$K$3,"_",Q387),$A$2:$P$352,5,FALSE)*'DGNB LCA Results'!$L$3,
IF('DGNB LCA Results'!$P$4=1,VLOOKUP(CONCATENATE('DGNB LCA Results'!$M$3,"_",Q387), $A$2:$P$352,5,FALSE)*'DGNB LCA Results'!$N$3,0))))</f>
        <v>0</v>
      </c>
      <c r="F387" s="47">
        <f>IF('DGNB LCA Results'!$P$4=4,VLOOKUP(CONCATENATE('DGNB LCA Results'!$M$3,"_",Q387), $A$2:$P$352,6,FALSE)*'DGNB LCA Results'!$N$3+
                                                                  VLOOKUP(CONCATENATE('DGNB LCA Results'!$K$3,"_",Q387), $A$2:$P$352,6,FALSE)*'DGNB LCA Results'!$L$3+
                                                                  VLOOKUP(CONCATENATE('DGNB LCA Results'!$I$3,"_",Q387), $A$2:$P$352,6,FALSE)*'DGNB LCA Results'!$J$3+
                                                                  VLOOKUP(CONCATENATE('DGNB LCA Results'!$G$3,"_",Q387), $A$2:$P$352,6,FALSE)*'DGNB LCA Results'!$H$3,
IF('DGNB LCA Results'!$P$4=3,VLOOKUP(CONCATENATE('DGNB LCA Results'!$M$3,"_",Q387), $A$2:$P$352,6,FALSE)*'DGNB LCA Results'!$N$3+
                                                                VLOOKUP(CONCATENATE('DGNB LCA Results'!$K$3,"_",Q387), $A$2:$P$352,6,FALSE)*'DGNB LCA Results'!$L$3+
                                                                VLOOKUP(CONCATENATE('DGNB LCA Results'!$I$3,"_",Q387),$A$2:$P$352,6,FALSE)*'DGNB LCA Results'!$J$3,
IF('DGNB LCA Results'!$P$4=2,VLOOKUP(CONCATENATE('DGNB LCA Results'!$M$3,"_",Q387), $A$2:$P$352,6,FALSE)*'DGNB LCA Results'!$N$3+
                                                                 VLOOKUP(CONCATENATE('DGNB LCA Results'!$K$3,"_",Q387),$A$2:$P$352,6,FALSE)*'DGNB LCA Results'!$L$3,
IF('DGNB LCA Results'!$P$4=1,VLOOKUP(CONCATENATE('DGNB LCA Results'!$M$3,"_",Q387), $A$2:$P$352,6,FALSE)*'DGNB LCA Results'!$N$3,0))))</f>
        <v>0</v>
      </c>
      <c r="G387" s="121">
        <f>IF('DGNB LCA Results'!$P$4=4,VLOOKUP(CONCATENATE('DGNB LCA Results'!$M$3,"_",Q387), $A$2:$P$352,7,FALSE)*'DGNB LCA Results'!$N$3+
                                                                  VLOOKUP(CONCATENATE('DGNB LCA Results'!$K$3,"_",Q387), $A$2:$P$352,7,FALSE)*'DGNB LCA Results'!$L$3+
                                                                  VLOOKUP(CONCATENATE('DGNB LCA Results'!$I$3,"_",Q387), $A$2:$P$352,7,FALSE)*'DGNB LCA Results'!$J$3+
                                                                  VLOOKUP(CONCATENATE('DGNB LCA Results'!$G$3,"_",Q387), $A$2:$P$352,7,FALSE)*'DGNB LCA Results'!$H$3,
IF('DGNB LCA Results'!$P$4=3,VLOOKUP(CONCATENATE('DGNB LCA Results'!$M$3,"_",Q387), $A$2:$P$352,7,FALSE)*'DGNB LCA Results'!$N$3+
                                                                VLOOKUP(CONCATENATE('DGNB LCA Results'!$K$3,"_",Q387), $A$2:$P$352,7,FALSE)*'DGNB LCA Results'!$L$3+
                                                                VLOOKUP(CONCATENATE('DGNB LCA Results'!$I$3,"_",Q387),$A$2:$P$352,7,FALSE)*'DGNB LCA Results'!$J$3,
IF('DGNB LCA Results'!$P$4=2,VLOOKUP(CONCATENATE('DGNB LCA Results'!$M$3,"_",Q387), $A$2:$P$352,7,FALSE)*'DGNB LCA Results'!$N$3+
                                                                 VLOOKUP(CONCATENATE('DGNB LCA Results'!$K$3,"_",Q387),$A$2:$P$352,7,FALSE)*'DGNB LCA Results'!$L$3,
IF('DGNB LCA Results'!$P$4=1,VLOOKUP(CONCATENATE('DGNB LCA Results'!$M$3,"_",Q387), $A$2:$P$352,7,FALSE)*'DGNB LCA Results'!$N$3,0))))</f>
        <v>0</v>
      </c>
      <c r="H387" s="120">
        <f>IF('DGNB LCA Results'!$P$4=4,VLOOKUP(CONCATENATE('DGNB LCA Results'!$M$3,"_",Q387), $A$2:$P$352,8,FALSE)*'DGNB LCA Results'!$N$3+
                                                                  VLOOKUP(CONCATENATE('DGNB LCA Results'!$K$3,"_",Q387), $A$2:$P$352,8,FALSE)*'DGNB LCA Results'!$L$3+
                                                                  VLOOKUP(CONCATENATE('DGNB LCA Results'!$I$3,"_",Q387), $A$2:$P$352,8,FALSE)*'DGNB LCA Results'!$J$3+
                                                                  VLOOKUP(CONCATENATE('DGNB LCA Results'!$G$3,"_",Q387), $A$2:$P$352,8,FALSE)*'DGNB LCA Results'!$H$3,
IF('DGNB LCA Results'!$P$4=3,VLOOKUP(CONCATENATE('DGNB LCA Results'!$M$3,"_",Q387), $A$2:$P$352,8,FALSE)*'DGNB LCA Results'!$N$3+
                                                                VLOOKUP(CONCATENATE('DGNB LCA Results'!$K$3,"_",Q387), $A$2:$P$352,8,FALSE)*'DGNB LCA Results'!$L$3+
                                                                VLOOKUP(CONCATENATE('DGNB LCA Results'!$I$3,"_",Q387),$A$2:$P$352,8,FALSE)*'DGNB LCA Results'!$J$3,
IF('DGNB LCA Results'!$P$4=2,VLOOKUP(CONCATENATE('DGNB LCA Results'!$M$3,"_",Q387), $A$2:$P$352,8,FALSE)*'DGNB LCA Results'!$N$3+
                                                                 VLOOKUP(CONCATENATE('DGNB LCA Results'!$K$3,"_",Q387),$A$2:$P$352,8,FALSE)*'DGNB LCA Results'!$L$3,
IF('DGNB LCA Results'!$P$4=1,VLOOKUP(CONCATENATE('DGNB LCA Results'!$M$3,"_",Q387), $A$2:$P$352,8,FALSE)*'DGNB LCA Results'!$N$3,0))))</f>
        <v>0</v>
      </c>
      <c r="I387" s="47">
        <f>IF('DGNB LCA Results'!$P$4=4,VLOOKUP(CONCATENATE('DGNB LCA Results'!$M$3,"_",Q387), $A$2:$P$352,9,FALSE)*'DGNB LCA Results'!$N$3+
                                                                  VLOOKUP(CONCATENATE('DGNB LCA Results'!$K$3,"_",Q387), $A$2:$P$352,9,FALSE)*'DGNB LCA Results'!$L$3+
                                                                  VLOOKUP(CONCATENATE('DGNB LCA Results'!$I$3,"_",Q387), $A$2:$P$352,9,FALSE)*'DGNB LCA Results'!$J$3+
                                                                  VLOOKUP(CONCATENATE('DGNB LCA Results'!$G$3,"_",Q387), $A$2:$P$352,9,FALSE)*'DGNB LCA Results'!$H$3,
IF('DGNB LCA Results'!$P$4=3,VLOOKUP(CONCATENATE('DGNB LCA Results'!$M$3,"_",Q387), $A$2:$P$352,9,FALSE)*'DGNB LCA Results'!$N$3+
                                                                VLOOKUP(CONCATENATE('DGNB LCA Results'!$K$3,"_",Q387), $A$2:$P$352,9,FALSE)*'DGNB LCA Results'!$L$3+
                                                                VLOOKUP(CONCATENATE('DGNB LCA Results'!$I$3,"_",Q387),$A$2:$P$352,9,FALSE)*'DGNB LCA Results'!$J$3,
IF('DGNB LCA Results'!$P$4=2,VLOOKUP(CONCATENATE('DGNB LCA Results'!$M$3,"_",Q387), $A$2:$P$352,9,FALSE)*'DGNB LCA Results'!$N$3+
                                                                 VLOOKUP(CONCATENATE('DGNB LCA Results'!$K$3,"_",Q387),$A$2:$P$352,9,FALSE)*'DGNB LCA Results'!$L$3,
IF('DGNB LCA Results'!$P$4=1,VLOOKUP(CONCATENATE('DGNB LCA Results'!$M$3,"_",Q387), $A$2:$P$352,9,FALSE)*'DGNB LCA Results'!$N$3,0))))</f>
        <v>0</v>
      </c>
      <c r="J387" s="121">
        <f>IF('DGNB LCA Results'!$P$4=4,VLOOKUP(CONCATENATE('DGNB LCA Results'!$M$3,"_",Q387), $A$2:$P$352,10,FALSE)*'DGNB LCA Results'!$N$3+
                                                                  VLOOKUP(CONCATENATE('DGNB LCA Results'!$K$3,"_",Q387), $A$2:$P$352,10,FALSE)*'DGNB LCA Results'!$L$3+
                                                                  VLOOKUP(CONCATENATE('DGNB LCA Results'!$I$3,"_",Q387), $A$2:$P$352,10,FALSE)*'DGNB LCA Results'!$J$3+
                                                                  VLOOKUP(CONCATENATE('DGNB LCA Results'!$G$3,"_",Q387), $A$2:$P$352,10,FALSE)*'DGNB LCA Results'!$H$3,
IF('DGNB LCA Results'!$P$4=3,VLOOKUP(CONCATENATE('DGNB LCA Results'!$M$3,"_",Q387), $A$2:$P$352,10,FALSE)*'DGNB LCA Results'!$N$3+
                                                                VLOOKUP(CONCATENATE('DGNB LCA Results'!$K$3,"_",Q387), $A$2:$P$352,10,FALSE)*'DGNB LCA Results'!$L$3+
                                                                VLOOKUP(CONCATENATE('DGNB LCA Results'!$I$3,"_",Q387),$A$2:$P$352,10,FALSE)*'DGNB LCA Results'!$J$3,
IF('DGNB LCA Results'!$P$4=2,VLOOKUP(CONCATENATE('DGNB LCA Results'!$M$3,"_",Q387), $A$2:$P$352,10,FALSE)*'DGNB LCA Results'!$N$3+
                                                                 VLOOKUP(CONCATENATE('DGNB LCA Results'!$K$3,"_",Q387),$A$2:$P$352,10,FALSE)*'DGNB LCA Results'!$L$3,
IF('DGNB LCA Results'!$P$4=1,VLOOKUP(CONCATENATE('DGNB LCA Results'!$M$3,"_",Q387), $A$2:$P$352,10,FALSE)*'DGNB LCA Results'!$N$3,0))))</f>
        <v>0</v>
      </c>
      <c r="K387" s="120">
        <f>IF('DGNB LCA Results'!$P$4=4,VLOOKUP(CONCATENATE('DGNB LCA Results'!$M$3,"_",Q387), $A$2:$P$352,11,FALSE)*'DGNB LCA Results'!$N$3+
                                                                  VLOOKUP(CONCATENATE('DGNB LCA Results'!$K$3,"_",Q387), $A$2:$P$352,11,FALSE)*'DGNB LCA Results'!$L$3+
                                                                  VLOOKUP(CONCATENATE('DGNB LCA Results'!$I$3,"_",Q387), $A$2:$P$352,11,FALSE)*'DGNB LCA Results'!$J$3+
                                                                  VLOOKUP(CONCATENATE('DGNB LCA Results'!$G$3,"_",Q387), $A$2:$P$352,11,FALSE)*'DGNB LCA Results'!$H$3,
IF('DGNB LCA Results'!$P$4=3,VLOOKUP(CONCATENATE('DGNB LCA Results'!$M$3,"_",Q387), $A$2:$P$352,11,FALSE)*'DGNB LCA Results'!$N$3+
                                                                VLOOKUP(CONCATENATE('DGNB LCA Results'!$K$3,"_",Q387), $A$2:$P$352,11,FALSE)*'DGNB LCA Results'!$L$3+
                                                                VLOOKUP(CONCATENATE('DGNB LCA Results'!$I$3,"_",Q387),$A$2:$P$352,11,FALSE)*'DGNB LCA Results'!$J$3,
IF('DGNB LCA Results'!$P$4=2,VLOOKUP(CONCATENATE('DGNB LCA Results'!$M$3,"_",Q387), $A$2:$P$352,11,FALSE)*'DGNB LCA Results'!$N$3+
                                                                 VLOOKUP(CONCATENATE('DGNB LCA Results'!$K$3,"_",Q387),$A$2:$P$352,11,FALSE)*'DGNB LCA Results'!$L$3,
IF('DGNB LCA Results'!$P$4=1,VLOOKUP(CONCATENATE('DGNB LCA Results'!$M$3,"_",Q387), $A$2:$P$352,11,FALSE)*'DGNB LCA Results'!$N$3,0))))</f>
        <v>0</v>
      </c>
      <c r="L387" s="47">
        <f>IF('DGNB LCA Results'!$P$4=4,VLOOKUP(CONCATENATE('DGNB LCA Results'!$M$3,"_",Q387), $A$2:$P$352,12,FALSE)*'DGNB LCA Results'!$N$3+
                                                                  VLOOKUP(CONCATENATE('DGNB LCA Results'!$K$3,"_",Q387), $A$2:$P$352,12,FALSE)*'DGNB LCA Results'!$L$3+
                                                                  VLOOKUP(CONCATENATE('DGNB LCA Results'!$I$3,"_",Q387), $A$2:$P$352,12,FALSE)*'DGNB LCA Results'!$J$3+
                                                                  VLOOKUP(CONCATENATE('DGNB LCA Results'!$G$3,"_",Q387), $A$2:$P$352,12,FALSE)*'DGNB LCA Results'!$H$3,
IF('DGNB LCA Results'!$P$4=3,VLOOKUP(CONCATENATE('DGNB LCA Results'!$M$3,"_",Q387), $A$2:$P$352,12,FALSE)*'DGNB LCA Results'!$N$3+
                                                                VLOOKUP(CONCATENATE('DGNB LCA Results'!$K$3,"_",Q387), $A$2:$P$352,12,FALSE)*'DGNB LCA Results'!$L$3+
                                                                VLOOKUP(CONCATENATE('DGNB LCA Results'!$I$3,"_",Q387),$A$2:$P$352,12,FALSE)*'DGNB LCA Results'!$J$3,
IF('DGNB LCA Results'!$P$4=2,VLOOKUP(CONCATENATE('DGNB LCA Results'!$M$3,"_",Q387), $A$2:$P$352,12,FALSE)*'DGNB LCA Results'!$N$3+
                                                                 VLOOKUP(CONCATENATE('DGNB LCA Results'!$K$3,"_",Q387),$A$2:$P$352,12,FALSE)*'DGNB LCA Results'!$L$3,
IF('DGNB LCA Results'!$P$4=1,VLOOKUP(CONCATENATE('DGNB LCA Results'!$M$3,"_",Q387), $A$2:$P$352,12,FALSE)*'DGNB LCA Results'!$N$3,0))))</f>
        <v>0</v>
      </c>
      <c r="M387" s="121">
        <f>IF('DGNB LCA Results'!$P$4=4,VLOOKUP(CONCATENATE('DGNB LCA Results'!$M$3,"_",Q387), $A$2:$P$352,13,FALSE)*'DGNB LCA Results'!$N$3+
                                                                  VLOOKUP(CONCATENATE('DGNB LCA Results'!$K$3,"_",Q387), $A$2:$P$352,13,FALSE)*'DGNB LCA Results'!$L$3+
                                                                  VLOOKUP(CONCATENATE('DGNB LCA Results'!$I$3,"_",Q387), $A$2:$P$352,13,FALSE)*'DGNB LCA Results'!$J$3+
                                                                  VLOOKUP(CONCATENATE('DGNB LCA Results'!$G$3,"_",Q387), $A$2:$P$352,13,FALSE)*'DGNB LCA Results'!$H$3,
IF('DGNB LCA Results'!$P$4=3,VLOOKUP(CONCATENATE('DGNB LCA Results'!$M$3,"_",Q387), $A$2:$P$352,13,FALSE)*'DGNB LCA Results'!$N$3+
                                                                VLOOKUP(CONCATENATE('DGNB LCA Results'!$K$3,"_",Q387), $A$2:$P$352,13,FALSE)*'DGNB LCA Results'!$L$3+
                                                                VLOOKUP(CONCATENATE('DGNB LCA Results'!$I$3,"_",Q387),$A$2:$P$352,13,FALSE)*'DGNB LCA Results'!$J$3,
IF('DGNB LCA Results'!$P$4=2,VLOOKUP(CONCATENATE('DGNB LCA Results'!$M$3,"_",Q387), $A$2:$P$352,13,FALSE)*'DGNB LCA Results'!$N$3+
                                                                 VLOOKUP(CONCATENATE('DGNB LCA Results'!$K$3,"_",Q387),$A$2:$P$352,13,FALSE)*'DGNB LCA Results'!$L$3,
IF('DGNB LCA Results'!$P$4=1,VLOOKUP(CONCATENATE('DGNB LCA Results'!$M$3,"_",Q387), $A$2:$P$352,13,FALSE)*'DGNB LCA Results'!$N$3,0))))</f>
        <v>0</v>
      </c>
      <c r="N387" s="120">
        <f>IF('DGNB LCA Results'!$P$4=4,VLOOKUP(CONCATENATE('DGNB LCA Results'!$M$3,"_",Q387), $A$2:$P$352,14,FALSE)*'DGNB LCA Results'!$N$3+
                                                                  VLOOKUP(CONCATENATE('DGNB LCA Results'!$K$3,"_",Q387), $A$2:$P$352,14,FALSE)*'DGNB LCA Results'!$L$3+
                                                                  VLOOKUP(CONCATENATE('DGNB LCA Results'!$I$3,"_",Q387), $A$2:$P$352,14,FALSE)*'DGNB LCA Results'!$J$3+
                                                                  VLOOKUP(CONCATENATE('DGNB LCA Results'!$G$3,"_",Q387), $A$2:$P$352,14,FALSE)*'DGNB LCA Results'!$H$3,
IF('DGNB LCA Results'!$P$4=3,VLOOKUP(CONCATENATE('DGNB LCA Results'!$M$3,"_",Q387), $A$2:$P$352,14,FALSE)*'DGNB LCA Results'!$N$3+
                                                                VLOOKUP(CONCATENATE('DGNB LCA Results'!$K$3,"_",Q387), $A$2:$P$352,14,FALSE)*'DGNB LCA Results'!$L$3+
                                                                VLOOKUP(CONCATENATE('DGNB LCA Results'!$I$3,"_",Q387),$A$2:$P$352,14,FALSE)*'DGNB LCA Results'!$J$3,
IF('DGNB LCA Results'!$P$4=2,VLOOKUP(CONCATENATE('DGNB LCA Results'!$M$3,"_",Q387), $A$2:$P$352,14,FALSE)*'DGNB LCA Results'!$N$3+
                                                                 VLOOKUP(CONCATENATE('DGNB LCA Results'!$K$3,"_",Q387),$A$2:$P$352,14,FALSE)*'DGNB LCA Results'!$L$3,
IF('DGNB LCA Results'!$P$4=1,VLOOKUP(CONCATENATE('DGNB LCA Results'!$M$3,"_",Q387), $A$2:$P$352,14,FALSE)*'DGNB LCA Results'!$N$3,0))))</f>
        <v>0</v>
      </c>
      <c r="O387" s="47">
        <f>IF('DGNB LCA Results'!$P$4=4,VLOOKUP(CONCATENATE('DGNB LCA Results'!$M$3,"_",Q387), $A$2:$P$352,15,FALSE)*'DGNB LCA Results'!$N$3+
                                                                  VLOOKUP(CONCATENATE('DGNB LCA Results'!$K$3,"_",Q387), $A$2:$P$352,15,FALSE)*'DGNB LCA Results'!$L$3+
                                                                  VLOOKUP(CONCATENATE('DGNB LCA Results'!$I$3,"_",Q387), $A$2:$P$352,15,FALSE)*'DGNB LCA Results'!$J$3+
                                                                  VLOOKUP(CONCATENATE('DGNB LCA Results'!$G$3,"_",Q387), $A$2:$P$352,15,FALSE)*'DGNB LCA Results'!$H$3,
IF('DGNB LCA Results'!$P$4=3,VLOOKUP(CONCATENATE('DGNB LCA Results'!$M$3,"_",Q387), $A$2:$P$352,15,FALSE)*'DGNB LCA Results'!$N$3+
                                                                VLOOKUP(CONCATENATE('DGNB LCA Results'!$K$3,"_",Q387), $A$2:$P$352,15,FALSE)*'DGNB LCA Results'!$L$3+
                                                                VLOOKUP(CONCATENATE('DGNB LCA Results'!$I$3,"_",Q387),$A$2:$P$352,15,FALSE)*'DGNB LCA Results'!$J$3,
IF('DGNB LCA Results'!$P$4=2,VLOOKUP(CONCATENATE('DGNB LCA Results'!$M$3,"_",Q387), $A$2:$P$352,15,FALSE)*'DGNB LCA Results'!$N$3+
                                                                 VLOOKUP(CONCATENATE('DGNB LCA Results'!$K$3,"_",Q387),$A$2:$P$352,15,FALSE)*'DGNB LCA Results'!$L$3,
IF('DGNB LCA Results'!$P$4=1,VLOOKUP(CONCATENATE('DGNB LCA Results'!$M$3,"_",Q387), $A$2:$P$352,15,FALSE)*'DGNB LCA Results'!$N$3,0))))</f>
        <v>0</v>
      </c>
      <c r="P387" s="121">
        <f>IF('DGNB LCA Results'!$P$4=4,VLOOKUP(CONCATENATE('DGNB LCA Results'!$M$3,"_",Q387), $A$2:$P$352,16,FALSE)*'DGNB LCA Results'!$N$3+
                                                                  VLOOKUP(CONCATENATE('DGNB LCA Results'!$K$3,"_",Q387), $A$2:$P$352,16,FALSE)*'DGNB LCA Results'!$L$3+
                                                                  VLOOKUP(CONCATENATE('DGNB LCA Results'!$I$3,"_",Q387), $A$2:$P$352,16,FALSE)*'DGNB LCA Results'!$J$3+
                                                                  VLOOKUP(CONCATENATE('DGNB LCA Results'!$G$3,"_",Q387), $A$2:$P$352,16,FALSE)*'DGNB LCA Results'!$H$3,
IF('DGNB LCA Results'!$P$4=3,VLOOKUP(CONCATENATE('DGNB LCA Results'!$M$3,"_",Q387), $A$2:$P$352,16,FALSE)*'DGNB LCA Results'!$N$3+
                                                                VLOOKUP(CONCATENATE('DGNB LCA Results'!$K$3,"_",Q387), $A$2:$P$352,16,FALSE)*'DGNB LCA Results'!$L$3+
                                                                VLOOKUP(CONCATENATE('DGNB LCA Results'!$I$3,"_",Q387),$A$2:$P$352,16,FALSE)*'DGNB LCA Results'!$J$3,
IF('DGNB LCA Results'!$P$4=2,VLOOKUP(CONCATENATE('DGNB LCA Results'!$M$3,"_",Q387), $A$2:$P$352,16,FALSE)*'DGNB LCA Results'!$N$3+
                                                                 VLOOKUP(CONCATENATE('DGNB LCA Results'!$K$3,"_",Q387),$A$2:$P$352,16,FALSE)*'DGNB LCA Results'!$L$3,
IF('DGNB LCA Results'!$P$4=1,VLOOKUP(CONCATENATE('DGNB LCA Results'!$M$3,"_",Q387), $A$2:$P$352,16,FALSE)*'DGNB LCA Results'!$N$3,0))))</f>
        <v>0</v>
      </c>
      <c r="Q387">
        <v>100</v>
      </c>
      <c r="R387" t="s">
        <v>194</v>
      </c>
    </row>
    <row r="388" spans="1:18" x14ac:dyDescent="0.2">
      <c r="A388" t="str">
        <f t="shared" si="7"/>
        <v>MIX15_110</v>
      </c>
      <c r="B388" s="120">
        <f>IF('DGNB LCA Results'!$P$4=4,VLOOKUP(CONCATENATE('DGNB LCA Results'!$M$3,"_",Q388), $A$2:$P$352,2,FALSE)*'DGNB LCA Results'!$N$3+
                                                                  VLOOKUP(CONCATENATE('DGNB LCA Results'!$K$3,"_",Q388), $A$2:$P$352,2,FALSE)*'DGNB LCA Results'!$L$3+
                                                                  VLOOKUP(CONCATENATE('DGNB LCA Results'!$I$3,"_",Q388), $A$2:$P$352,2,FALSE)*'DGNB LCA Results'!$J$3+
                                                                  VLOOKUP(CONCATENATE('DGNB LCA Results'!$G$3,"_",Q388), $A$2:$P$352,2,FALSE)*'DGNB LCA Results'!$H$3,
IF('DGNB LCA Results'!$P$4=3,VLOOKUP(CONCATENATE('DGNB LCA Results'!$M$3,"_",Q388), $A$2:$P$352,2,FALSE)*'DGNB LCA Results'!$N$3+
                                                                VLOOKUP(CONCATENATE('DGNB LCA Results'!$K$3,"_",Q388), $A$2:$P$352,2,FALSE)*'DGNB LCA Results'!$L$3+
                                                                VLOOKUP(CONCATENATE('DGNB LCA Results'!$I$3,"_",Q388),$A$2:$P$352,2,FALSE)*'DGNB LCA Results'!$J$3,
IF('DGNB LCA Results'!$P$4=2,VLOOKUP(CONCATENATE('DGNB LCA Results'!$M$3,"_",Q388), $A$2:$P$352,2,FALSE)*'DGNB LCA Results'!$N$3+
                                                                 VLOOKUP(CONCATENATE('DGNB LCA Results'!$K$3,"_",Q388),$A$2:$P$352,2,FALSE)*'DGNB LCA Results'!$L$3,
IF('DGNB LCA Results'!$P$4=1,VLOOKUP(CONCATENATE('DGNB LCA Results'!$M$3,"_",Q388), $A$2:$P$352,2,FALSE)*'DGNB LCA Results'!$N$3,0))))</f>
        <v>0</v>
      </c>
      <c r="C388" s="49">
        <f>IF('DGNB LCA Results'!$P$4=4,VLOOKUP(CONCATENATE('DGNB LCA Results'!$M$3,"_",Q388), $A$2:$P$352,3,FALSE)*'DGNB LCA Results'!$N$3+
                                                                  VLOOKUP(CONCATENATE('DGNB LCA Results'!$K$3,"_",Q388), $A$2:$P$352,3,FALSE)*'DGNB LCA Results'!$L$3+
                                                                  VLOOKUP(CONCATENATE('DGNB LCA Results'!$I$3,"_",Q388), $A$2:$P$352,3,FALSE)*'DGNB LCA Results'!$J$3+
                                                                  VLOOKUP(CONCATENATE('DGNB LCA Results'!$G$3,"_",Q388), $A$2:$P$352,3,FALSE)*'DGNB LCA Results'!$H$3,
IF('DGNB LCA Results'!$P$4=3,VLOOKUP(CONCATENATE('DGNB LCA Results'!$M$3,"_",Q388), $A$2:$P$352,3,FALSE)*'DGNB LCA Results'!$N$3+
                                                                VLOOKUP(CONCATENATE('DGNB LCA Results'!$K$3,"_",Q388), $A$2:$P$352,3,FALSE)*'DGNB LCA Results'!$L$3+
                                                                VLOOKUP(CONCATENATE('DGNB LCA Results'!$I$3,"_",Q388),$A$2:$P$352,3,FALSE)*'DGNB LCA Results'!$J$3,
IF('DGNB LCA Results'!$P$4=2,VLOOKUP(CONCATENATE('DGNB LCA Results'!$M$3,"_",Q388), $A$2:$P$352,3,FALSE)*'DGNB LCA Results'!$N$3+
                                                                 VLOOKUP(CONCATENATE('DGNB LCA Results'!$K$3,"_",Q388),$A$2:$P$352,3,FALSE)*'DGNB LCA Results'!$L$3,
IF('DGNB LCA Results'!$P$4=1,VLOOKUP(CONCATENATE('DGNB LCA Results'!$M$3,"_",Q388), $A$2:$P$352,3,FALSE)*'DGNB LCA Results'!$N$3,0))))</f>
        <v>0</v>
      </c>
      <c r="D388" s="49">
        <f>IF('DGNB LCA Results'!$P$4=4,VLOOKUP(CONCATENATE('DGNB LCA Results'!$M$3,"_",Q388), $A$2:$P$352,4,FALSE)*'DGNB LCA Results'!$N$3+
                                                                  VLOOKUP(CONCATENATE('DGNB LCA Results'!$K$3,"_",Q388), $A$2:$P$352,4,FALSE)*'DGNB LCA Results'!$L$3+
                                                                  VLOOKUP(CONCATENATE('DGNB LCA Results'!$I$3,"_",Q388), $A$2:$P$352,4,FALSE)*'DGNB LCA Results'!$J$3+
                                                                  VLOOKUP(CONCATENATE('DGNB LCA Results'!$G$3,"_",Q388), $A$2:$P$352,4,FALSE)*'DGNB LCA Results'!$H$3,
IF('DGNB LCA Results'!$P$4=3,VLOOKUP(CONCATENATE('DGNB LCA Results'!$M$3,"_",Q388), $A$2:$P$352,4,FALSE)*'DGNB LCA Results'!$N$3+
                                                                VLOOKUP(CONCATENATE('DGNB LCA Results'!$K$3,"_",Q388), $A$2:$P$352,4,FALSE)*'DGNB LCA Results'!$L$3+
                                                                VLOOKUP(CONCATENATE('DGNB LCA Results'!$I$3,"_",Q388),$A$2:$P$352,4,FALSE)*'DGNB LCA Results'!$J$3,
IF('DGNB LCA Results'!$P$4=2,VLOOKUP(CONCATENATE('DGNB LCA Results'!$M$3,"_",Q388), $A$2:$P$352,4,FALSE)*'DGNB LCA Results'!$N$3+
                                                                 VLOOKUP(CONCATENATE('DGNB LCA Results'!$K$3,"_",Q388),$A$2:$P$352,4,FALSE)*'DGNB LCA Results'!$L$3,
IF('DGNB LCA Results'!$P$4=1,VLOOKUP(CONCATENATE('DGNB LCA Results'!$M$3,"_",Q388), $A$2:$P$352,4,FALSE)*'DGNB LCA Results'!$N$3,0))))</f>
        <v>0</v>
      </c>
      <c r="E388" s="120">
        <f>IF('DGNB LCA Results'!$P$4=4,VLOOKUP(CONCATENATE('DGNB LCA Results'!$M$3,"_",Q388), $A$2:$P$352,5,FALSE)*'DGNB LCA Results'!$N$3+
                                                                  VLOOKUP(CONCATENATE('DGNB LCA Results'!$K$3,"_",Q388), $A$2:$P$352,5,FALSE)*'DGNB LCA Results'!$L$3+
                                                                  VLOOKUP(CONCATENATE('DGNB LCA Results'!$I$3,"_",Q388), $A$2:$P$352,5,FALSE)*'DGNB LCA Results'!$J$3+
                                                                  VLOOKUP(CONCATENATE('DGNB LCA Results'!$G$3,"_",Q388), $A$2:$P$352,5,FALSE)*'DGNB LCA Results'!$H$3,
IF('DGNB LCA Results'!$P$4=3,VLOOKUP(CONCATENATE('DGNB LCA Results'!$M$3,"_",Q388), $A$2:$P$352,5,FALSE)*'DGNB LCA Results'!$N$3+
                                                                VLOOKUP(CONCATENATE('DGNB LCA Results'!$K$3,"_",Q388), $A$2:$P$352,5,FALSE)*'DGNB LCA Results'!$L$3+
                                                                VLOOKUP(CONCATENATE('DGNB LCA Results'!$I$3,"_",Q388),$A$2:$P$352,5,FALSE)*'DGNB LCA Results'!$J$3,
IF('DGNB LCA Results'!$P$4=2,VLOOKUP(CONCATENATE('DGNB LCA Results'!$M$3,"_",Q388), $A$2:$P$352,5,FALSE)*'DGNB LCA Results'!$N$3+
                                                                 VLOOKUP(CONCATENATE('DGNB LCA Results'!$K$3,"_",Q388),$A$2:$P$352,5,FALSE)*'DGNB LCA Results'!$L$3,
IF('DGNB LCA Results'!$P$4=1,VLOOKUP(CONCATENATE('DGNB LCA Results'!$M$3,"_",Q388), $A$2:$P$352,5,FALSE)*'DGNB LCA Results'!$N$3,0))))</f>
        <v>0</v>
      </c>
      <c r="F388" s="47">
        <f>IF('DGNB LCA Results'!$P$4=4,VLOOKUP(CONCATENATE('DGNB LCA Results'!$M$3,"_",Q388), $A$2:$P$352,6,FALSE)*'DGNB LCA Results'!$N$3+
                                                                  VLOOKUP(CONCATENATE('DGNB LCA Results'!$K$3,"_",Q388), $A$2:$P$352,6,FALSE)*'DGNB LCA Results'!$L$3+
                                                                  VLOOKUP(CONCATENATE('DGNB LCA Results'!$I$3,"_",Q388), $A$2:$P$352,6,FALSE)*'DGNB LCA Results'!$J$3+
                                                                  VLOOKUP(CONCATENATE('DGNB LCA Results'!$G$3,"_",Q388), $A$2:$P$352,6,FALSE)*'DGNB LCA Results'!$H$3,
IF('DGNB LCA Results'!$P$4=3,VLOOKUP(CONCATENATE('DGNB LCA Results'!$M$3,"_",Q388), $A$2:$P$352,6,FALSE)*'DGNB LCA Results'!$N$3+
                                                                VLOOKUP(CONCATENATE('DGNB LCA Results'!$K$3,"_",Q388), $A$2:$P$352,6,FALSE)*'DGNB LCA Results'!$L$3+
                                                                VLOOKUP(CONCATENATE('DGNB LCA Results'!$I$3,"_",Q388),$A$2:$P$352,6,FALSE)*'DGNB LCA Results'!$J$3,
IF('DGNB LCA Results'!$P$4=2,VLOOKUP(CONCATENATE('DGNB LCA Results'!$M$3,"_",Q388), $A$2:$P$352,6,FALSE)*'DGNB LCA Results'!$N$3+
                                                                 VLOOKUP(CONCATENATE('DGNB LCA Results'!$K$3,"_",Q388),$A$2:$P$352,6,FALSE)*'DGNB LCA Results'!$L$3,
IF('DGNB LCA Results'!$P$4=1,VLOOKUP(CONCATENATE('DGNB LCA Results'!$M$3,"_",Q388), $A$2:$P$352,6,FALSE)*'DGNB LCA Results'!$N$3,0))))</f>
        <v>0</v>
      </c>
      <c r="G388" s="121">
        <f>IF('DGNB LCA Results'!$P$4=4,VLOOKUP(CONCATENATE('DGNB LCA Results'!$M$3,"_",Q388), $A$2:$P$352,7,FALSE)*'DGNB LCA Results'!$N$3+
                                                                  VLOOKUP(CONCATENATE('DGNB LCA Results'!$K$3,"_",Q388), $A$2:$P$352,7,FALSE)*'DGNB LCA Results'!$L$3+
                                                                  VLOOKUP(CONCATENATE('DGNB LCA Results'!$I$3,"_",Q388), $A$2:$P$352,7,FALSE)*'DGNB LCA Results'!$J$3+
                                                                  VLOOKUP(CONCATENATE('DGNB LCA Results'!$G$3,"_",Q388), $A$2:$P$352,7,FALSE)*'DGNB LCA Results'!$H$3,
IF('DGNB LCA Results'!$P$4=3,VLOOKUP(CONCATENATE('DGNB LCA Results'!$M$3,"_",Q388), $A$2:$P$352,7,FALSE)*'DGNB LCA Results'!$N$3+
                                                                VLOOKUP(CONCATENATE('DGNB LCA Results'!$K$3,"_",Q388), $A$2:$P$352,7,FALSE)*'DGNB LCA Results'!$L$3+
                                                                VLOOKUP(CONCATENATE('DGNB LCA Results'!$I$3,"_",Q388),$A$2:$P$352,7,FALSE)*'DGNB LCA Results'!$J$3,
IF('DGNB LCA Results'!$P$4=2,VLOOKUP(CONCATENATE('DGNB LCA Results'!$M$3,"_",Q388), $A$2:$P$352,7,FALSE)*'DGNB LCA Results'!$N$3+
                                                                 VLOOKUP(CONCATENATE('DGNB LCA Results'!$K$3,"_",Q388),$A$2:$P$352,7,FALSE)*'DGNB LCA Results'!$L$3,
IF('DGNB LCA Results'!$P$4=1,VLOOKUP(CONCATENATE('DGNB LCA Results'!$M$3,"_",Q388), $A$2:$P$352,7,FALSE)*'DGNB LCA Results'!$N$3,0))))</f>
        <v>0</v>
      </c>
      <c r="H388" s="120">
        <f>IF('DGNB LCA Results'!$P$4=4,VLOOKUP(CONCATENATE('DGNB LCA Results'!$M$3,"_",Q388), $A$2:$P$352,8,FALSE)*'DGNB LCA Results'!$N$3+
                                                                  VLOOKUP(CONCATENATE('DGNB LCA Results'!$K$3,"_",Q388), $A$2:$P$352,8,FALSE)*'DGNB LCA Results'!$L$3+
                                                                  VLOOKUP(CONCATENATE('DGNB LCA Results'!$I$3,"_",Q388), $A$2:$P$352,8,FALSE)*'DGNB LCA Results'!$J$3+
                                                                  VLOOKUP(CONCATENATE('DGNB LCA Results'!$G$3,"_",Q388), $A$2:$P$352,8,FALSE)*'DGNB LCA Results'!$H$3,
IF('DGNB LCA Results'!$P$4=3,VLOOKUP(CONCATENATE('DGNB LCA Results'!$M$3,"_",Q388), $A$2:$P$352,8,FALSE)*'DGNB LCA Results'!$N$3+
                                                                VLOOKUP(CONCATENATE('DGNB LCA Results'!$K$3,"_",Q388), $A$2:$P$352,8,FALSE)*'DGNB LCA Results'!$L$3+
                                                                VLOOKUP(CONCATENATE('DGNB LCA Results'!$I$3,"_",Q388),$A$2:$P$352,8,FALSE)*'DGNB LCA Results'!$J$3,
IF('DGNB LCA Results'!$P$4=2,VLOOKUP(CONCATENATE('DGNB LCA Results'!$M$3,"_",Q388), $A$2:$P$352,8,FALSE)*'DGNB LCA Results'!$N$3+
                                                                 VLOOKUP(CONCATENATE('DGNB LCA Results'!$K$3,"_",Q388),$A$2:$P$352,8,FALSE)*'DGNB LCA Results'!$L$3,
IF('DGNB LCA Results'!$P$4=1,VLOOKUP(CONCATENATE('DGNB LCA Results'!$M$3,"_",Q388), $A$2:$P$352,8,FALSE)*'DGNB LCA Results'!$N$3,0))))</f>
        <v>0</v>
      </c>
      <c r="I388" s="47">
        <f>IF('DGNB LCA Results'!$P$4=4,VLOOKUP(CONCATENATE('DGNB LCA Results'!$M$3,"_",Q388), $A$2:$P$352,9,FALSE)*'DGNB LCA Results'!$N$3+
                                                                  VLOOKUP(CONCATENATE('DGNB LCA Results'!$K$3,"_",Q388), $A$2:$P$352,9,FALSE)*'DGNB LCA Results'!$L$3+
                                                                  VLOOKUP(CONCATENATE('DGNB LCA Results'!$I$3,"_",Q388), $A$2:$P$352,9,FALSE)*'DGNB LCA Results'!$J$3+
                                                                  VLOOKUP(CONCATENATE('DGNB LCA Results'!$G$3,"_",Q388), $A$2:$P$352,9,FALSE)*'DGNB LCA Results'!$H$3,
IF('DGNB LCA Results'!$P$4=3,VLOOKUP(CONCATENATE('DGNB LCA Results'!$M$3,"_",Q388), $A$2:$P$352,9,FALSE)*'DGNB LCA Results'!$N$3+
                                                                VLOOKUP(CONCATENATE('DGNB LCA Results'!$K$3,"_",Q388), $A$2:$P$352,9,FALSE)*'DGNB LCA Results'!$L$3+
                                                                VLOOKUP(CONCATENATE('DGNB LCA Results'!$I$3,"_",Q388),$A$2:$P$352,9,FALSE)*'DGNB LCA Results'!$J$3,
IF('DGNB LCA Results'!$P$4=2,VLOOKUP(CONCATENATE('DGNB LCA Results'!$M$3,"_",Q388), $A$2:$P$352,9,FALSE)*'DGNB LCA Results'!$N$3+
                                                                 VLOOKUP(CONCATENATE('DGNB LCA Results'!$K$3,"_",Q388),$A$2:$P$352,9,FALSE)*'DGNB LCA Results'!$L$3,
IF('DGNB LCA Results'!$P$4=1,VLOOKUP(CONCATENATE('DGNB LCA Results'!$M$3,"_",Q388), $A$2:$P$352,9,FALSE)*'DGNB LCA Results'!$N$3,0))))</f>
        <v>0</v>
      </c>
      <c r="J388" s="121">
        <f>IF('DGNB LCA Results'!$P$4=4,VLOOKUP(CONCATENATE('DGNB LCA Results'!$M$3,"_",Q388), $A$2:$P$352,10,FALSE)*'DGNB LCA Results'!$N$3+
                                                                  VLOOKUP(CONCATENATE('DGNB LCA Results'!$K$3,"_",Q388), $A$2:$P$352,10,FALSE)*'DGNB LCA Results'!$L$3+
                                                                  VLOOKUP(CONCATENATE('DGNB LCA Results'!$I$3,"_",Q388), $A$2:$P$352,10,FALSE)*'DGNB LCA Results'!$J$3+
                                                                  VLOOKUP(CONCATENATE('DGNB LCA Results'!$G$3,"_",Q388), $A$2:$P$352,10,FALSE)*'DGNB LCA Results'!$H$3,
IF('DGNB LCA Results'!$P$4=3,VLOOKUP(CONCATENATE('DGNB LCA Results'!$M$3,"_",Q388), $A$2:$P$352,10,FALSE)*'DGNB LCA Results'!$N$3+
                                                                VLOOKUP(CONCATENATE('DGNB LCA Results'!$K$3,"_",Q388), $A$2:$P$352,10,FALSE)*'DGNB LCA Results'!$L$3+
                                                                VLOOKUP(CONCATENATE('DGNB LCA Results'!$I$3,"_",Q388),$A$2:$P$352,10,FALSE)*'DGNB LCA Results'!$J$3,
IF('DGNB LCA Results'!$P$4=2,VLOOKUP(CONCATENATE('DGNB LCA Results'!$M$3,"_",Q388), $A$2:$P$352,10,FALSE)*'DGNB LCA Results'!$N$3+
                                                                 VLOOKUP(CONCATENATE('DGNB LCA Results'!$K$3,"_",Q388),$A$2:$P$352,10,FALSE)*'DGNB LCA Results'!$L$3,
IF('DGNB LCA Results'!$P$4=1,VLOOKUP(CONCATENATE('DGNB LCA Results'!$M$3,"_",Q388), $A$2:$P$352,10,FALSE)*'DGNB LCA Results'!$N$3,0))))</f>
        <v>0</v>
      </c>
      <c r="K388" s="120">
        <f>IF('DGNB LCA Results'!$P$4=4,VLOOKUP(CONCATENATE('DGNB LCA Results'!$M$3,"_",Q388), $A$2:$P$352,11,FALSE)*'DGNB LCA Results'!$N$3+
                                                                  VLOOKUP(CONCATENATE('DGNB LCA Results'!$K$3,"_",Q388), $A$2:$P$352,11,FALSE)*'DGNB LCA Results'!$L$3+
                                                                  VLOOKUP(CONCATENATE('DGNB LCA Results'!$I$3,"_",Q388), $A$2:$P$352,11,FALSE)*'DGNB LCA Results'!$J$3+
                                                                  VLOOKUP(CONCATENATE('DGNB LCA Results'!$G$3,"_",Q388), $A$2:$P$352,11,FALSE)*'DGNB LCA Results'!$H$3,
IF('DGNB LCA Results'!$P$4=3,VLOOKUP(CONCATENATE('DGNB LCA Results'!$M$3,"_",Q388), $A$2:$P$352,11,FALSE)*'DGNB LCA Results'!$N$3+
                                                                VLOOKUP(CONCATENATE('DGNB LCA Results'!$K$3,"_",Q388), $A$2:$P$352,11,FALSE)*'DGNB LCA Results'!$L$3+
                                                                VLOOKUP(CONCATENATE('DGNB LCA Results'!$I$3,"_",Q388),$A$2:$P$352,11,FALSE)*'DGNB LCA Results'!$J$3,
IF('DGNB LCA Results'!$P$4=2,VLOOKUP(CONCATENATE('DGNB LCA Results'!$M$3,"_",Q388), $A$2:$P$352,11,FALSE)*'DGNB LCA Results'!$N$3+
                                                                 VLOOKUP(CONCATENATE('DGNB LCA Results'!$K$3,"_",Q388),$A$2:$P$352,11,FALSE)*'DGNB LCA Results'!$L$3,
IF('DGNB LCA Results'!$P$4=1,VLOOKUP(CONCATENATE('DGNB LCA Results'!$M$3,"_",Q388), $A$2:$P$352,11,FALSE)*'DGNB LCA Results'!$N$3,0))))</f>
        <v>0</v>
      </c>
      <c r="L388" s="47">
        <f>IF('DGNB LCA Results'!$P$4=4,VLOOKUP(CONCATENATE('DGNB LCA Results'!$M$3,"_",Q388), $A$2:$P$352,12,FALSE)*'DGNB LCA Results'!$N$3+
                                                                  VLOOKUP(CONCATENATE('DGNB LCA Results'!$K$3,"_",Q388), $A$2:$P$352,12,FALSE)*'DGNB LCA Results'!$L$3+
                                                                  VLOOKUP(CONCATENATE('DGNB LCA Results'!$I$3,"_",Q388), $A$2:$P$352,12,FALSE)*'DGNB LCA Results'!$J$3+
                                                                  VLOOKUP(CONCATENATE('DGNB LCA Results'!$G$3,"_",Q388), $A$2:$P$352,12,FALSE)*'DGNB LCA Results'!$H$3,
IF('DGNB LCA Results'!$P$4=3,VLOOKUP(CONCATENATE('DGNB LCA Results'!$M$3,"_",Q388), $A$2:$P$352,12,FALSE)*'DGNB LCA Results'!$N$3+
                                                                VLOOKUP(CONCATENATE('DGNB LCA Results'!$K$3,"_",Q388), $A$2:$P$352,12,FALSE)*'DGNB LCA Results'!$L$3+
                                                                VLOOKUP(CONCATENATE('DGNB LCA Results'!$I$3,"_",Q388),$A$2:$P$352,12,FALSE)*'DGNB LCA Results'!$J$3,
IF('DGNB LCA Results'!$P$4=2,VLOOKUP(CONCATENATE('DGNB LCA Results'!$M$3,"_",Q388), $A$2:$P$352,12,FALSE)*'DGNB LCA Results'!$N$3+
                                                                 VLOOKUP(CONCATENATE('DGNB LCA Results'!$K$3,"_",Q388),$A$2:$P$352,12,FALSE)*'DGNB LCA Results'!$L$3,
IF('DGNB LCA Results'!$P$4=1,VLOOKUP(CONCATENATE('DGNB LCA Results'!$M$3,"_",Q388), $A$2:$P$352,12,FALSE)*'DGNB LCA Results'!$N$3,0))))</f>
        <v>0</v>
      </c>
      <c r="M388" s="121">
        <f>IF('DGNB LCA Results'!$P$4=4,VLOOKUP(CONCATENATE('DGNB LCA Results'!$M$3,"_",Q388), $A$2:$P$352,13,FALSE)*'DGNB LCA Results'!$N$3+
                                                                  VLOOKUP(CONCATENATE('DGNB LCA Results'!$K$3,"_",Q388), $A$2:$P$352,13,FALSE)*'DGNB LCA Results'!$L$3+
                                                                  VLOOKUP(CONCATENATE('DGNB LCA Results'!$I$3,"_",Q388), $A$2:$P$352,13,FALSE)*'DGNB LCA Results'!$J$3+
                                                                  VLOOKUP(CONCATENATE('DGNB LCA Results'!$G$3,"_",Q388), $A$2:$P$352,13,FALSE)*'DGNB LCA Results'!$H$3,
IF('DGNB LCA Results'!$P$4=3,VLOOKUP(CONCATENATE('DGNB LCA Results'!$M$3,"_",Q388), $A$2:$P$352,13,FALSE)*'DGNB LCA Results'!$N$3+
                                                                VLOOKUP(CONCATENATE('DGNB LCA Results'!$K$3,"_",Q388), $A$2:$P$352,13,FALSE)*'DGNB LCA Results'!$L$3+
                                                                VLOOKUP(CONCATENATE('DGNB LCA Results'!$I$3,"_",Q388),$A$2:$P$352,13,FALSE)*'DGNB LCA Results'!$J$3,
IF('DGNB LCA Results'!$P$4=2,VLOOKUP(CONCATENATE('DGNB LCA Results'!$M$3,"_",Q388), $A$2:$P$352,13,FALSE)*'DGNB LCA Results'!$N$3+
                                                                 VLOOKUP(CONCATENATE('DGNB LCA Results'!$K$3,"_",Q388),$A$2:$P$352,13,FALSE)*'DGNB LCA Results'!$L$3,
IF('DGNB LCA Results'!$P$4=1,VLOOKUP(CONCATENATE('DGNB LCA Results'!$M$3,"_",Q388), $A$2:$P$352,13,FALSE)*'DGNB LCA Results'!$N$3,0))))</f>
        <v>0</v>
      </c>
      <c r="N388" s="120">
        <f>IF('DGNB LCA Results'!$P$4=4,VLOOKUP(CONCATENATE('DGNB LCA Results'!$M$3,"_",Q388), $A$2:$P$352,14,FALSE)*'DGNB LCA Results'!$N$3+
                                                                  VLOOKUP(CONCATENATE('DGNB LCA Results'!$K$3,"_",Q388), $A$2:$P$352,14,FALSE)*'DGNB LCA Results'!$L$3+
                                                                  VLOOKUP(CONCATENATE('DGNB LCA Results'!$I$3,"_",Q388), $A$2:$P$352,14,FALSE)*'DGNB LCA Results'!$J$3+
                                                                  VLOOKUP(CONCATENATE('DGNB LCA Results'!$G$3,"_",Q388), $A$2:$P$352,14,FALSE)*'DGNB LCA Results'!$H$3,
IF('DGNB LCA Results'!$P$4=3,VLOOKUP(CONCATENATE('DGNB LCA Results'!$M$3,"_",Q388), $A$2:$P$352,14,FALSE)*'DGNB LCA Results'!$N$3+
                                                                VLOOKUP(CONCATENATE('DGNB LCA Results'!$K$3,"_",Q388), $A$2:$P$352,14,FALSE)*'DGNB LCA Results'!$L$3+
                                                                VLOOKUP(CONCATENATE('DGNB LCA Results'!$I$3,"_",Q388),$A$2:$P$352,14,FALSE)*'DGNB LCA Results'!$J$3,
IF('DGNB LCA Results'!$P$4=2,VLOOKUP(CONCATENATE('DGNB LCA Results'!$M$3,"_",Q388), $A$2:$P$352,14,FALSE)*'DGNB LCA Results'!$N$3+
                                                                 VLOOKUP(CONCATENATE('DGNB LCA Results'!$K$3,"_",Q388),$A$2:$P$352,14,FALSE)*'DGNB LCA Results'!$L$3,
IF('DGNB LCA Results'!$P$4=1,VLOOKUP(CONCATENATE('DGNB LCA Results'!$M$3,"_",Q388), $A$2:$P$352,14,FALSE)*'DGNB LCA Results'!$N$3,0))))</f>
        <v>0</v>
      </c>
      <c r="O388" s="47">
        <f>IF('DGNB LCA Results'!$P$4=4,VLOOKUP(CONCATENATE('DGNB LCA Results'!$M$3,"_",Q388), $A$2:$P$352,15,FALSE)*'DGNB LCA Results'!$N$3+
                                                                  VLOOKUP(CONCATENATE('DGNB LCA Results'!$K$3,"_",Q388), $A$2:$P$352,15,FALSE)*'DGNB LCA Results'!$L$3+
                                                                  VLOOKUP(CONCATENATE('DGNB LCA Results'!$I$3,"_",Q388), $A$2:$P$352,15,FALSE)*'DGNB LCA Results'!$J$3+
                                                                  VLOOKUP(CONCATENATE('DGNB LCA Results'!$G$3,"_",Q388), $A$2:$P$352,15,FALSE)*'DGNB LCA Results'!$H$3,
IF('DGNB LCA Results'!$P$4=3,VLOOKUP(CONCATENATE('DGNB LCA Results'!$M$3,"_",Q388), $A$2:$P$352,15,FALSE)*'DGNB LCA Results'!$N$3+
                                                                VLOOKUP(CONCATENATE('DGNB LCA Results'!$K$3,"_",Q388), $A$2:$P$352,15,FALSE)*'DGNB LCA Results'!$L$3+
                                                                VLOOKUP(CONCATENATE('DGNB LCA Results'!$I$3,"_",Q388),$A$2:$P$352,15,FALSE)*'DGNB LCA Results'!$J$3,
IF('DGNB LCA Results'!$P$4=2,VLOOKUP(CONCATENATE('DGNB LCA Results'!$M$3,"_",Q388), $A$2:$P$352,15,FALSE)*'DGNB LCA Results'!$N$3+
                                                                 VLOOKUP(CONCATENATE('DGNB LCA Results'!$K$3,"_",Q388),$A$2:$P$352,15,FALSE)*'DGNB LCA Results'!$L$3,
IF('DGNB LCA Results'!$P$4=1,VLOOKUP(CONCATENATE('DGNB LCA Results'!$M$3,"_",Q388), $A$2:$P$352,15,FALSE)*'DGNB LCA Results'!$N$3,0))))</f>
        <v>0</v>
      </c>
      <c r="P388" s="121">
        <f>IF('DGNB LCA Results'!$P$4=4,VLOOKUP(CONCATENATE('DGNB LCA Results'!$M$3,"_",Q388), $A$2:$P$352,16,FALSE)*'DGNB LCA Results'!$N$3+
                                                                  VLOOKUP(CONCATENATE('DGNB LCA Results'!$K$3,"_",Q388), $A$2:$P$352,16,FALSE)*'DGNB LCA Results'!$L$3+
                                                                  VLOOKUP(CONCATENATE('DGNB LCA Results'!$I$3,"_",Q388), $A$2:$P$352,16,FALSE)*'DGNB LCA Results'!$J$3+
                                                                  VLOOKUP(CONCATENATE('DGNB LCA Results'!$G$3,"_",Q388), $A$2:$P$352,16,FALSE)*'DGNB LCA Results'!$H$3,
IF('DGNB LCA Results'!$P$4=3,VLOOKUP(CONCATENATE('DGNB LCA Results'!$M$3,"_",Q388), $A$2:$P$352,16,FALSE)*'DGNB LCA Results'!$N$3+
                                                                VLOOKUP(CONCATENATE('DGNB LCA Results'!$K$3,"_",Q388), $A$2:$P$352,16,FALSE)*'DGNB LCA Results'!$L$3+
                                                                VLOOKUP(CONCATENATE('DGNB LCA Results'!$I$3,"_",Q388),$A$2:$P$352,16,FALSE)*'DGNB LCA Results'!$J$3,
IF('DGNB LCA Results'!$P$4=2,VLOOKUP(CONCATENATE('DGNB LCA Results'!$M$3,"_",Q388), $A$2:$P$352,16,FALSE)*'DGNB LCA Results'!$N$3+
                                                                 VLOOKUP(CONCATENATE('DGNB LCA Results'!$K$3,"_",Q388),$A$2:$P$352,16,FALSE)*'DGNB LCA Results'!$L$3,
IF('DGNB LCA Results'!$P$4=1,VLOOKUP(CONCATENATE('DGNB LCA Results'!$M$3,"_",Q388), $A$2:$P$352,16,FALSE)*'DGNB LCA Results'!$N$3,0))))</f>
        <v>0</v>
      </c>
      <c r="Q388">
        <v>110</v>
      </c>
      <c r="R388" t="s">
        <v>194</v>
      </c>
    </row>
    <row r="389" spans="1:18" x14ac:dyDescent="0.2">
      <c r="A389" t="str">
        <f t="shared" si="7"/>
        <v>MIX15_120</v>
      </c>
      <c r="B389" s="120">
        <f>IF('DGNB LCA Results'!$P$4=4,VLOOKUP(CONCATENATE('DGNB LCA Results'!$M$3,"_",Q389), $A$2:$P$352,2,FALSE)*'DGNB LCA Results'!$N$3+
                                                                  VLOOKUP(CONCATENATE('DGNB LCA Results'!$K$3,"_",Q389), $A$2:$P$352,2,FALSE)*'DGNB LCA Results'!$L$3+
                                                                  VLOOKUP(CONCATENATE('DGNB LCA Results'!$I$3,"_",Q389), $A$2:$P$352,2,FALSE)*'DGNB LCA Results'!$J$3+
                                                                  VLOOKUP(CONCATENATE('DGNB LCA Results'!$G$3,"_",Q389), $A$2:$P$352,2,FALSE)*'DGNB LCA Results'!$H$3,
IF('DGNB LCA Results'!$P$4=3,VLOOKUP(CONCATENATE('DGNB LCA Results'!$M$3,"_",Q389), $A$2:$P$352,2,FALSE)*'DGNB LCA Results'!$N$3+
                                                                VLOOKUP(CONCATENATE('DGNB LCA Results'!$K$3,"_",Q389), $A$2:$P$352,2,FALSE)*'DGNB LCA Results'!$L$3+
                                                                VLOOKUP(CONCATENATE('DGNB LCA Results'!$I$3,"_",Q389),$A$2:$P$352,2,FALSE)*'DGNB LCA Results'!$J$3,
IF('DGNB LCA Results'!$P$4=2,VLOOKUP(CONCATENATE('DGNB LCA Results'!$M$3,"_",Q389), $A$2:$P$352,2,FALSE)*'DGNB LCA Results'!$N$3+
                                                                 VLOOKUP(CONCATENATE('DGNB LCA Results'!$K$3,"_",Q389),$A$2:$P$352,2,FALSE)*'DGNB LCA Results'!$L$3,
IF('DGNB LCA Results'!$P$4=1,VLOOKUP(CONCATENATE('DGNB LCA Results'!$M$3,"_",Q389), $A$2:$P$352,2,FALSE)*'DGNB LCA Results'!$N$3,0))))</f>
        <v>0</v>
      </c>
      <c r="C389" s="49">
        <f>IF('DGNB LCA Results'!$P$4=4,VLOOKUP(CONCATENATE('DGNB LCA Results'!$M$3,"_",Q389), $A$2:$P$352,3,FALSE)*'DGNB LCA Results'!$N$3+
                                                                  VLOOKUP(CONCATENATE('DGNB LCA Results'!$K$3,"_",Q389), $A$2:$P$352,3,FALSE)*'DGNB LCA Results'!$L$3+
                                                                  VLOOKUP(CONCATENATE('DGNB LCA Results'!$I$3,"_",Q389), $A$2:$P$352,3,FALSE)*'DGNB LCA Results'!$J$3+
                                                                  VLOOKUP(CONCATENATE('DGNB LCA Results'!$G$3,"_",Q389), $A$2:$P$352,3,FALSE)*'DGNB LCA Results'!$H$3,
IF('DGNB LCA Results'!$P$4=3,VLOOKUP(CONCATENATE('DGNB LCA Results'!$M$3,"_",Q389), $A$2:$P$352,3,FALSE)*'DGNB LCA Results'!$N$3+
                                                                VLOOKUP(CONCATENATE('DGNB LCA Results'!$K$3,"_",Q389), $A$2:$P$352,3,FALSE)*'DGNB LCA Results'!$L$3+
                                                                VLOOKUP(CONCATENATE('DGNB LCA Results'!$I$3,"_",Q389),$A$2:$P$352,3,FALSE)*'DGNB LCA Results'!$J$3,
IF('DGNB LCA Results'!$P$4=2,VLOOKUP(CONCATENATE('DGNB LCA Results'!$M$3,"_",Q389), $A$2:$P$352,3,FALSE)*'DGNB LCA Results'!$N$3+
                                                                 VLOOKUP(CONCATENATE('DGNB LCA Results'!$K$3,"_",Q389),$A$2:$P$352,3,FALSE)*'DGNB LCA Results'!$L$3,
IF('DGNB LCA Results'!$P$4=1,VLOOKUP(CONCATENATE('DGNB LCA Results'!$M$3,"_",Q389), $A$2:$P$352,3,FALSE)*'DGNB LCA Results'!$N$3,0))))</f>
        <v>0</v>
      </c>
      <c r="D389" s="49">
        <f>IF('DGNB LCA Results'!$P$4=4,VLOOKUP(CONCATENATE('DGNB LCA Results'!$M$3,"_",Q389), $A$2:$P$352,4,FALSE)*'DGNB LCA Results'!$N$3+
                                                                  VLOOKUP(CONCATENATE('DGNB LCA Results'!$K$3,"_",Q389), $A$2:$P$352,4,FALSE)*'DGNB LCA Results'!$L$3+
                                                                  VLOOKUP(CONCATENATE('DGNB LCA Results'!$I$3,"_",Q389), $A$2:$P$352,4,FALSE)*'DGNB LCA Results'!$J$3+
                                                                  VLOOKUP(CONCATENATE('DGNB LCA Results'!$G$3,"_",Q389), $A$2:$P$352,4,FALSE)*'DGNB LCA Results'!$H$3,
IF('DGNB LCA Results'!$P$4=3,VLOOKUP(CONCATENATE('DGNB LCA Results'!$M$3,"_",Q389), $A$2:$P$352,4,FALSE)*'DGNB LCA Results'!$N$3+
                                                                VLOOKUP(CONCATENATE('DGNB LCA Results'!$K$3,"_",Q389), $A$2:$P$352,4,FALSE)*'DGNB LCA Results'!$L$3+
                                                                VLOOKUP(CONCATENATE('DGNB LCA Results'!$I$3,"_",Q389),$A$2:$P$352,4,FALSE)*'DGNB LCA Results'!$J$3,
IF('DGNB LCA Results'!$P$4=2,VLOOKUP(CONCATENATE('DGNB LCA Results'!$M$3,"_",Q389), $A$2:$P$352,4,FALSE)*'DGNB LCA Results'!$N$3+
                                                                 VLOOKUP(CONCATENATE('DGNB LCA Results'!$K$3,"_",Q389),$A$2:$P$352,4,FALSE)*'DGNB LCA Results'!$L$3,
IF('DGNB LCA Results'!$P$4=1,VLOOKUP(CONCATENATE('DGNB LCA Results'!$M$3,"_",Q389), $A$2:$P$352,4,FALSE)*'DGNB LCA Results'!$N$3,0))))</f>
        <v>0</v>
      </c>
      <c r="E389" s="120">
        <f>IF('DGNB LCA Results'!$P$4=4,VLOOKUP(CONCATENATE('DGNB LCA Results'!$M$3,"_",Q389), $A$2:$P$352,5,FALSE)*'DGNB LCA Results'!$N$3+
                                                                  VLOOKUP(CONCATENATE('DGNB LCA Results'!$K$3,"_",Q389), $A$2:$P$352,5,FALSE)*'DGNB LCA Results'!$L$3+
                                                                  VLOOKUP(CONCATENATE('DGNB LCA Results'!$I$3,"_",Q389), $A$2:$P$352,5,FALSE)*'DGNB LCA Results'!$J$3+
                                                                  VLOOKUP(CONCATENATE('DGNB LCA Results'!$G$3,"_",Q389), $A$2:$P$352,5,FALSE)*'DGNB LCA Results'!$H$3,
IF('DGNB LCA Results'!$P$4=3,VLOOKUP(CONCATENATE('DGNB LCA Results'!$M$3,"_",Q389), $A$2:$P$352,5,FALSE)*'DGNB LCA Results'!$N$3+
                                                                VLOOKUP(CONCATENATE('DGNB LCA Results'!$K$3,"_",Q389), $A$2:$P$352,5,FALSE)*'DGNB LCA Results'!$L$3+
                                                                VLOOKUP(CONCATENATE('DGNB LCA Results'!$I$3,"_",Q389),$A$2:$P$352,5,FALSE)*'DGNB LCA Results'!$J$3,
IF('DGNB LCA Results'!$P$4=2,VLOOKUP(CONCATENATE('DGNB LCA Results'!$M$3,"_",Q389), $A$2:$P$352,5,FALSE)*'DGNB LCA Results'!$N$3+
                                                                 VLOOKUP(CONCATENATE('DGNB LCA Results'!$K$3,"_",Q389),$A$2:$P$352,5,FALSE)*'DGNB LCA Results'!$L$3,
IF('DGNB LCA Results'!$P$4=1,VLOOKUP(CONCATENATE('DGNB LCA Results'!$M$3,"_",Q389), $A$2:$P$352,5,FALSE)*'DGNB LCA Results'!$N$3,0))))</f>
        <v>0</v>
      </c>
      <c r="F389" s="47">
        <f>IF('DGNB LCA Results'!$P$4=4,VLOOKUP(CONCATENATE('DGNB LCA Results'!$M$3,"_",Q389), $A$2:$P$352,6,FALSE)*'DGNB LCA Results'!$N$3+
                                                                  VLOOKUP(CONCATENATE('DGNB LCA Results'!$K$3,"_",Q389), $A$2:$P$352,6,FALSE)*'DGNB LCA Results'!$L$3+
                                                                  VLOOKUP(CONCATENATE('DGNB LCA Results'!$I$3,"_",Q389), $A$2:$P$352,6,FALSE)*'DGNB LCA Results'!$J$3+
                                                                  VLOOKUP(CONCATENATE('DGNB LCA Results'!$G$3,"_",Q389), $A$2:$P$352,6,FALSE)*'DGNB LCA Results'!$H$3,
IF('DGNB LCA Results'!$P$4=3,VLOOKUP(CONCATENATE('DGNB LCA Results'!$M$3,"_",Q389), $A$2:$P$352,6,FALSE)*'DGNB LCA Results'!$N$3+
                                                                VLOOKUP(CONCATENATE('DGNB LCA Results'!$K$3,"_",Q389), $A$2:$P$352,6,FALSE)*'DGNB LCA Results'!$L$3+
                                                                VLOOKUP(CONCATENATE('DGNB LCA Results'!$I$3,"_",Q389),$A$2:$P$352,6,FALSE)*'DGNB LCA Results'!$J$3,
IF('DGNB LCA Results'!$P$4=2,VLOOKUP(CONCATENATE('DGNB LCA Results'!$M$3,"_",Q389), $A$2:$P$352,6,FALSE)*'DGNB LCA Results'!$N$3+
                                                                 VLOOKUP(CONCATENATE('DGNB LCA Results'!$K$3,"_",Q389),$A$2:$P$352,6,FALSE)*'DGNB LCA Results'!$L$3,
IF('DGNB LCA Results'!$P$4=1,VLOOKUP(CONCATENATE('DGNB LCA Results'!$M$3,"_",Q389), $A$2:$P$352,6,FALSE)*'DGNB LCA Results'!$N$3,0))))</f>
        <v>0</v>
      </c>
      <c r="G389" s="121">
        <f>IF('DGNB LCA Results'!$P$4=4,VLOOKUP(CONCATENATE('DGNB LCA Results'!$M$3,"_",Q389), $A$2:$P$352,7,FALSE)*'DGNB LCA Results'!$N$3+
                                                                  VLOOKUP(CONCATENATE('DGNB LCA Results'!$K$3,"_",Q389), $A$2:$P$352,7,FALSE)*'DGNB LCA Results'!$L$3+
                                                                  VLOOKUP(CONCATENATE('DGNB LCA Results'!$I$3,"_",Q389), $A$2:$P$352,7,FALSE)*'DGNB LCA Results'!$J$3+
                                                                  VLOOKUP(CONCATENATE('DGNB LCA Results'!$G$3,"_",Q389), $A$2:$P$352,7,FALSE)*'DGNB LCA Results'!$H$3,
IF('DGNB LCA Results'!$P$4=3,VLOOKUP(CONCATENATE('DGNB LCA Results'!$M$3,"_",Q389), $A$2:$P$352,7,FALSE)*'DGNB LCA Results'!$N$3+
                                                                VLOOKUP(CONCATENATE('DGNB LCA Results'!$K$3,"_",Q389), $A$2:$P$352,7,FALSE)*'DGNB LCA Results'!$L$3+
                                                                VLOOKUP(CONCATENATE('DGNB LCA Results'!$I$3,"_",Q389),$A$2:$P$352,7,FALSE)*'DGNB LCA Results'!$J$3,
IF('DGNB LCA Results'!$P$4=2,VLOOKUP(CONCATENATE('DGNB LCA Results'!$M$3,"_",Q389), $A$2:$P$352,7,FALSE)*'DGNB LCA Results'!$N$3+
                                                                 VLOOKUP(CONCATENATE('DGNB LCA Results'!$K$3,"_",Q389),$A$2:$P$352,7,FALSE)*'DGNB LCA Results'!$L$3,
IF('DGNB LCA Results'!$P$4=1,VLOOKUP(CONCATENATE('DGNB LCA Results'!$M$3,"_",Q389), $A$2:$P$352,7,FALSE)*'DGNB LCA Results'!$N$3,0))))</f>
        <v>0</v>
      </c>
      <c r="H389" s="120">
        <f>IF('DGNB LCA Results'!$P$4=4,VLOOKUP(CONCATENATE('DGNB LCA Results'!$M$3,"_",Q389), $A$2:$P$352,8,FALSE)*'DGNB LCA Results'!$N$3+
                                                                  VLOOKUP(CONCATENATE('DGNB LCA Results'!$K$3,"_",Q389), $A$2:$P$352,8,FALSE)*'DGNB LCA Results'!$L$3+
                                                                  VLOOKUP(CONCATENATE('DGNB LCA Results'!$I$3,"_",Q389), $A$2:$P$352,8,FALSE)*'DGNB LCA Results'!$J$3+
                                                                  VLOOKUP(CONCATENATE('DGNB LCA Results'!$G$3,"_",Q389), $A$2:$P$352,8,FALSE)*'DGNB LCA Results'!$H$3,
IF('DGNB LCA Results'!$P$4=3,VLOOKUP(CONCATENATE('DGNB LCA Results'!$M$3,"_",Q389), $A$2:$P$352,8,FALSE)*'DGNB LCA Results'!$N$3+
                                                                VLOOKUP(CONCATENATE('DGNB LCA Results'!$K$3,"_",Q389), $A$2:$P$352,8,FALSE)*'DGNB LCA Results'!$L$3+
                                                                VLOOKUP(CONCATENATE('DGNB LCA Results'!$I$3,"_",Q389),$A$2:$P$352,8,FALSE)*'DGNB LCA Results'!$J$3,
IF('DGNB LCA Results'!$P$4=2,VLOOKUP(CONCATENATE('DGNB LCA Results'!$M$3,"_",Q389), $A$2:$P$352,8,FALSE)*'DGNB LCA Results'!$N$3+
                                                                 VLOOKUP(CONCATENATE('DGNB LCA Results'!$K$3,"_",Q389),$A$2:$P$352,8,FALSE)*'DGNB LCA Results'!$L$3,
IF('DGNB LCA Results'!$P$4=1,VLOOKUP(CONCATENATE('DGNB LCA Results'!$M$3,"_",Q389), $A$2:$P$352,8,FALSE)*'DGNB LCA Results'!$N$3,0))))</f>
        <v>0</v>
      </c>
      <c r="I389" s="47">
        <f>IF('DGNB LCA Results'!$P$4=4,VLOOKUP(CONCATENATE('DGNB LCA Results'!$M$3,"_",Q389), $A$2:$P$352,9,FALSE)*'DGNB LCA Results'!$N$3+
                                                                  VLOOKUP(CONCATENATE('DGNB LCA Results'!$K$3,"_",Q389), $A$2:$P$352,9,FALSE)*'DGNB LCA Results'!$L$3+
                                                                  VLOOKUP(CONCATENATE('DGNB LCA Results'!$I$3,"_",Q389), $A$2:$P$352,9,FALSE)*'DGNB LCA Results'!$J$3+
                                                                  VLOOKUP(CONCATENATE('DGNB LCA Results'!$G$3,"_",Q389), $A$2:$P$352,9,FALSE)*'DGNB LCA Results'!$H$3,
IF('DGNB LCA Results'!$P$4=3,VLOOKUP(CONCATENATE('DGNB LCA Results'!$M$3,"_",Q389), $A$2:$P$352,9,FALSE)*'DGNB LCA Results'!$N$3+
                                                                VLOOKUP(CONCATENATE('DGNB LCA Results'!$K$3,"_",Q389), $A$2:$P$352,9,FALSE)*'DGNB LCA Results'!$L$3+
                                                                VLOOKUP(CONCATENATE('DGNB LCA Results'!$I$3,"_",Q389),$A$2:$P$352,9,FALSE)*'DGNB LCA Results'!$J$3,
IF('DGNB LCA Results'!$P$4=2,VLOOKUP(CONCATENATE('DGNB LCA Results'!$M$3,"_",Q389), $A$2:$P$352,9,FALSE)*'DGNB LCA Results'!$N$3+
                                                                 VLOOKUP(CONCATENATE('DGNB LCA Results'!$K$3,"_",Q389),$A$2:$P$352,9,FALSE)*'DGNB LCA Results'!$L$3,
IF('DGNB LCA Results'!$P$4=1,VLOOKUP(CONCATENATE('DGNB LCA Results'!$M$3,"_",Q389), $A$2:$P$352,9,FALSE)*'DGNB LCA Results'!$N$3,0))))</f>
        <v>0</v>
      </c>
      <c r="J389" s="121">
        <f>IF('DGNB LCA Results'!$P$4=4,VLOOKUP(CONCATENATE('DGNB LCA Results'!$M$3,"_",Q389), $A$2:$P$352,10,FALSE)*'DGNB LCA Results'!$N$3+
                                                                  VLOOKUP(CONCATENATE('DGNB LCA Results'!$K$3,"_",Q389), $A$2:$P$352,10,FALSE)*'DGNB LCA Results'!$L$3+
                                                                  VLOOKUP(CONCATENATE('DGNB LCA Results'!$I$3,"_",Q389), $A$2:$P$352,10,FALSE)*'DGNB LCA Results'!$J$3+
                                                                  VLOOKUP(CONCATENATE('DGNB LCA Results'!$G$3,"_",Q389), $A$2:$P$352,10,FALSE)*'DGNB LCA Results'!$H$3,
IF('DGNB LCA Results'!$P$4=3,VLOOKUP(CONCATENATE('DGNB LCA Results'!$M$3,"_",Q389), $A$2:$P$352,10,FALSE)*'DGNB LCA Results'!$N$3+
                                                                VLOOKUP(CONCATENATE('DGNB LCA Results'!$K$3,"_",Q389), $A$2:$P$352,10,FALSE)*'DGNB LCA Results'!$L$3+
                                                                VLOOKUP(CONCATENATE('DGNB LCA Results'!$I$3,"_",Q389),$A$2:$P$352,10,FALSE)*'DGNB LCA Results'!$J$3,
IF('DGNB LCA Results'!$P$4=2,VLOOKUP(CONCATENATE('DGNB LCA Results'!$M$3,"_",Q389), $A$2:$P$352,10,FALSE)*'DGNB LCA Results'!$N$3+
                                                                 VLOOKUP(CONCATENATE('DGNB LCA Results'!$K$3,"_",Q389),$A$2:$P$352,10,FALSE)*'DGNB LCA Results'!$L$3,
IF('DGNB LCA Results'!$P$4=1,VLOOKUP(CONCATENATE('DGNB LCA Results'!$M$3,"_",Q389), $A$2:$P$352,10,FALSE)*'DGNB LCA Results'!$N$3,0))))</f>
        <v>0</v>
      </c>
      <c r="K389" s="120">
        <f>IF('DGNB LCA Results'!$P$4=4,VLOOKUP(CONCATENATE('DGNB LCA Results'!$M$3,"_",Q389), $A$2:$P$352,11,FALSE)*'DGNB LCA Results'!$N$3+
                                                                  VLOOKUP(CONCATENATE('DGNB LCA Results'!$K$3,"_",Q389), $A$2:$P$352,11,FALSE)*'DGNB LCA Results'!$L$3+
                                                                  VLOOKUP(CONCATENATE('DGNB LCA Results'!$I$3,"_",Q389), $A$2:$P$352,11,FALSE)*'DGNB LCA Results'!$J$3+
                                                                  VLOOKUP(CONCATENATE('DGNB LCA Results'!$G$3,"_",Q389), $A$2:$P$352,11,FALSE)*'DGNB LCA Results'!$H$3,
IF('DGNB LCA Results'!$P$4=3,VLOOKUP(CONCATENATE('DGNB LCA Results'!$M$3,"_",Q389), $A$2:$P$352,11,FALSE)*'DGNB LCA Results'!$N$3+
                                                                VLOOKUP(CONCATENATE('DGNB LCA Results'!$K$3,"_",Q389), $A$2:$P$352,11,FALSE)*'DGNB LCA Results'!$L$3+
                                                                VLOOKUP(CONCATENATE('DGNB LCA Results'!$I$3,"_",Q389),$A$2:$P$352,11,FALSE)*'DGNB LCA Results'!$J$3,
IF('DGNB LCA Results'!$P$4=2,VLOOKUP(CONCATENATE('DGNB LCA Results'!$M$3,"_",Q389), $A$2:$P$352,11,FALSE)*'DGNB LCA Results'!$N$3+
                                                                 VLOOKUP(CONCATENATE('DGNB LCA Results'!$K$3,"_",Q389),$A$2:$P$352,11,FALSE)*'DGNB LCA Results'!$L$3,
IF('DGNB LCA Results'!$P$4=1,VLOOKUP(CONCATENATE('DGNB LCA Results'!$M$3,"_",Q389), $A$2:$P$352,11,FALSE)*'DGNB LCA Results'!$N$3,0))))</f>
        <v>0</v>
      </c>
      <c r="L389" s="47">
        <f>IF('DGNB LCA Results'!$P$4=4,VLOOKUP(CONCATENATE('DGNB LCA Results'!$M$3,"_",Q389), $A$2:$P$352,12,FALSE)*'DGNB LCA Results'!$N$3+
                                                                  VLOOKUP(CONCATENATE('DGNB LCA Results'!$K$3,"_",Q389), $A$2:$P$352,12,FALSE)*'DGNB LCA Results'!$L$3+
                                                                  VLOOKUP(CONCATENATE('DGNB LCA Results'!$I$3,"_",Q389), $A$2:$P$352,12,FALSE)*'DGNB LCA Results'!$J$3+
                                                                  VLOOKUP(CONCATENATE('DGNB LCA Results'!$G$3,"_",Q389), $A$2:$P$352,12,FALSE)*'DGNB LCA Results'!$H$3,
IF('DGNB LCA Results'!$P$4=3,VLOOKUP(CONCATENATE('DGNB LCA Results'!$M$3,"_",Q389), $A$2:$P$352,12,FALSE)*'DGNB LCA Results'!$N$3+
                                                                VLOOKUP(CONCATENATE('DGNB LCA Results'!$K$3,"_",Q389), $A$2:$P$352,12,FALSE)*'DGNB LCA Results'!$L$3+
                                                                VLOOKUP(CONCATENATE('DGNB LCA Results'!$I$3,"_",Q389),$A$2:$P$352,12,FALSE)*'DGNB LCA Results'!$J$3,
IF('DGNB LCA Results'!$P$4=2,VLOOKUP(CONCATENATE('DGNB LCA Results'!$M$3,"_",Q389), $A$2:$P$352,12,FALSE)*'DGNB LCA Results'!$N$3+
                                                                 VLOOKUP(CONCATENATE('DGNB LCA Results'!$K$3,"_",Q389),$A$2:$P$352,12,FALSE)*'DGNB LCA Results'!$L$3,
IF('DGNB LCA Results'!$P$4=1,VLOOKUP(CONCATENATE('DGNB LCA Results'!$M$3,"_",Q389), $A$2:$P$352,12,FALSE)*'DGNB LCA Results'!$N$3,0))))</f>
        <v>0</v>
      </c>
      <c r="M389" s="121">
        <f>IF('DGNB LCA Results'!$P$4=4,VLOOKUP(CONCATENATE('DGNB LCA Results'!$M$3,"_",Q389), $A$2:$P$352,13,FALSE)*'DGNB LCA Results'!$N$3+
                                                                  VLOOKUP(CONCATENATE('DGNB LCA Results'!$K$3,"_",Q389), $A$2:$P$352,13,FALSE)*'DGNB LCA Results'!$L$3+
                                                                  VLOOKUP(CONCATENATE('DGNB LCA Results'!$I$3,"_",Q389), $A$2:$P$352,13,FALSE)*'DGNB LCA Results'!$J$3+
                                                                  VLOOKUP(CONCATENATE('DGNB LCA Results'!$G$3,"_",Q389), $A$2:$P$352,13,FALSE)*'DGNB LCA Results'!$H$3,
IF('DGNB LCA Results'!$P$4=3,VLOOKUP(CONCATENATE('DGNB LCA Results'!$M$3,"_",Q389), $A$2:$P$352,13,FALSE)*'DGNB LCA Results'!$N$3+
                                                                VLOOKUP(CONCATENATE('DGNB LCA Results'!$K$3,"_",Q389), $A$2:$P$352,13,FALSE)*'DGNB LCA Results'!$L$3+
                                                                VLOOKUP(CONCATENATE('DGNB LCA Results'!$I$3,"_",Q389),$A$2:$P$352,13,FALSE)*'DGNB LCA Results'!$J$3,
IF('DGNB LCA Results'!$P$4=2,VLOOKUP(CONCATENATE('DGNB LCA Results'!$M$3,"_",Q389), $A$2:$P$352,13,FALSE)*'DGNB LCA Results'!$N$3+
                                                                 VLOOKUP(CONCATENATE('DGNB LCA Results'!$K$3,"_",Q389),$A$2:$P$352,13,FALSE)*'DGNB LCA Results'!$L$3,
IF('DGNB LCA Results'!$P$4=1,VLOOKUP(CONCATENATE('DGNB LCA Results'!$M$3,"_",Q389), $A$2:$P$352,13,FALSE)*'DGNB LCA Results'!$N$3,0))))</f>
        <v>0</v>
      </c>
      <c r="N389" s="120">
        <f>IF('DGNB LCA Results'!$P$4=4,VLOOKUP(CONCATENATE('DGNB LCA Results'!$M$3,"_",Q389), $A$2:$P$352,14,FALSE)*'DGNB LCA Results'!$N$3+
                                                                  VLOOKUP(CONCATENATE('DGNB LCA Results'!$K$3,"_",Q389), $A$2:$P$352,14,FALSE)*'DGNB LCA Results'!$L$3+
                                                                  VLOOKUP(CONCATENATE('DGNB LCA Results'!$I$3,"_",Q389), $A$2:$P$352,14,FALSE)*'DGNB LCA Results'!$J$3+
                                                                  VLOOKUP(CONCATENATE('DGNB LCA Results'!$G$3,"_",Q389), $A$2:$P$352,14,FALSE)*'DGNB LCA Results'!$H$3,
IF('DGNB LCA Results'!$P$4=3,VLOOKUP(CONCATENATE('DGNB LCA Results'!$M$3,"_",Q389), $A$2:$P$352,14,FALSE)*'DGNB LCA Results'!$N$3+
                                                                VLOOKUP(CONCATENATE('DGNB LCA Results'!$K$3,"_",Q389), $A$2:$P$352,14,FALSE)*'DGNB LCA Results'!$L$3+
                                                                VLOOKUP(CONCATENATE('DGNB LCA Results'!$I$3,"_",Q389),$A$2:$P$352,14,FALSE)*'DGNB LCA Results'!$J$3,
IF('DGNB LCA Results'!$P$4=2,VLOOKUP(CONCATENATE('DGNB LCA Results'!$M$3,"_",Q389), $A$2:$P$352,14,FALSE)*'DGNB LCA Results'!$N$3+
                                                                 VLOOKUP(CONCATENATE('DGNB LCA Results'!$K$3,"_",Q389),$A$2:$P$352,14,FALSE)*'DGNB LCA Results'!$L$3,
IF('DGNB LCA Results'!$P$4=1,VLOOKUP(CONCATENATE('DGNB LCA Results'!$M$3,"_",Q389), $A$2:$P$352,14,FALSE)*'DGNB LCA Results'!$N$3,0))))</f>
        <v>0</v>
      </c>
      <c r="O389" s="47">
        <f>IF('DGNB LCA Results'!$P$4=4,VLOOKUP(CONCATENATE('DGNB LCA Results'!$M$3,"_",Q389), $A$2:$P$352,15,FALSE)*'DGNB LCA Results'!$N$3+
                                                                  VLOOKUP(CONCATENATE('DGNB LCA Results'!$K$3,"_",Q389), $A$2:$P$352,15,FALSE)*'DGNB LCA Results'!$L$3+
                                                                  VLOOKUP(CONCATENATE('DGNB LCA Results'!$I$3,"_",Q389), $A$2:$P$352,15,FALSE)*'DGNB LCA Results'!$J$3+
                                                                  VLOOKUP(CONCATENATE('DGNB LCA Results'!$G$3,"_",Q389), $A$2:$P$352,15,FALSE)*'DGNB LCA Results'!$H$3,
IF('DGNB LCA Results'!$P$4=3,VLOOKUP(CONCATENATE('DGNB LCA Results'!$M$3,"_",Q389), $A$2:$P$352,15,FALSE)*'DGNB LCA Results'!$N$3+
                                                                VLOOKUP(CONCATENATE('DGNB LCA Results'!$K$3,"_",Q389), $A$2:$P$352,15,FALSE)*'DGNB LCA Results'!$L$3+
                                                                VLOOKUP(CONCATENATE('DGNB LCA Results'!$I$3,"_",Q389),$A$2:$P$352,15,FALSE)*'DGNB LCA Results'!$J$3,
IF('DGNB LCA Results'!$P$4=2,VLOOKUP(CONCATENATE('DGNB LCA Results'!$M$3,"_",Q389), $A$2:$P$352,15,FALSE)*'DGNB LCA Results'!$N$3+
                                                                 VLOOKUP(CONCATENATE('DGNB LCA Results'!$K$3,"_",Q389),$A$2:$P$352,15,FALSE)*'DGNB LCA Results'!$L$3,
IF('DGNB LCA Results'!$P$4=1,VLOOKUP(CONCATENATE('DGNB LCA Results'!$M$3,"_",Q389), $A$2:$P$352,15,FALSE)*'DGNB LCA Results'!$N$3,0))))</f>
        <v>0</v>
      </c>
      <c r="P389" s="121">
        <f>IF('DGNB LCA Results'!$P$4=4,VLOOKUP(CONCATENATE('DGNB LCA Results'!$M$3,"_",Q389), $A$2:$P$352,16,FALSE)*'DGNB LCA Results'!$N$3+
                                                                  VLOOKUP(CONCATENATE('DGNB LCA Results'!$K$3,"_",Q389), $A$2:$P$352,16,FALSE)*'DGNB LCA Results'!$L$3+
                                                                  VLOOKUP(CONCATENATE('DGNB LCA Results'!$I$3,"_",Q389), $A$2:$P$352,16,FALSE)*'DGNB LCA Results'!$J$3+
                                                                  VLOOKUP(CONCATENATE('DGNB LCA Results'!$G$3,"_",Q389), $A$2:$P$352,16,FALSE)*'DGNB LCA Results'!$H$3,
IF('DGNB LCA Results'!$P$4=3,VLOOKUP(CONCATENATE('DGNB LCA Results'!$M$3,"_",Q389), $A$2:$P$352,16,FALSE)*'DGNB LCA Results'!$N$3+
                                                                VLOOKUP(CONCATENATE('DGNB LCA Results'!$K$3,"_",Q389), $A$2:$P$352,16,FALSE)*'DGNB LCA Results'!$L$3+
                                                                VLOOKUP(CONCATENATE('DGNB LCA Results'!$I$3,"_",Q389),$A$2:$P$352,16,FALSE)*'DGNB LCA Results'!$J$3,
IF('DGNB LCA Results'!$P$4=2,VLOOKUP(CONCATENATE('DGNB LCA Results'!$M$3,"_",Q389), $A$2:$P$352,16,FALSE)*'DGNB LCA Results'!$N$3+
                                                                 VLOOKUP(CONCATENATE('DGNB LCA Results'!$K$3,"_",Q389),$A$2:$P$352,16,FALSE)*'DGNB LCA Results'!$L$3,
IF('DGNB LCA Results'!$P$4=1,VLOOKUP(CONCATENATE('DGNB LCA Results'!$M$3,"_",Q389), $A$2:$P$352,16,FALSE)*'DGNB LCA Results'!$N$3,0))))</f>
        <v>0</v>
      </c>
      <c r="Q389">
        <v>120</v>
      </c>
      <c r="R389" t="s">
        <v>194</v>
      </c>
    </row>
    <row r="390" spans="1:18" x14ac:dyDescent="0.2">
      <c r="A390" t="str">
        <f t="shared" si="7"/>
        <v/>
      </c>
    </row>
    <row r="391" spans="1:18" x14ac:dyDescent="0.2">
      <c r="A391" t="str">
        <f t="shared" si="7"/>
        <v>MIX18_0</v>
      </c>
      <c r="B391" s="120">
        <f>IF('DGNB LCA Results'!$P$4=4,VLOOKUP(CONCATENATE('DGNB LCA Results'!$M$3,"_",Q391), $A$2:$P$352,2,FALSE)*'DGNB LCA Results'!$N$3+
                                                                  VLOOKUP(CONCATENATE('DGNB LCA Results'!$K$3,"_",Q391), $A$2:$P$352,2,FALSE)*'DGNB LCA Results'!$L$3+
                                                                  VLOOKUP(CONCATENATE('DGNB LCA Results'!$I$3,"_",Q391), $A$2:$P$352,2,FALSE)*'DGNB LCA Results'!$J$3+
                                                                  VLOOKUP(CONCATENATE('DGNB LCA Results'!$G$3,"_",Q391), $A$2:$P$352,2,FALSE)*'DGNB LCA Results'!$H$3,
IF('DGNB LCA Results'!$P$4=3,VLOOKUP(CONCATENATE('DGNB LCA Results'!$M$3,"_",Q391), $A$2:$P$352,2,FALSE)*'DGNB LCA Results'!$N$3+
                                                                VLOOKUP(CONCATENATE('DGNB LCA Results'!$K$3,"_",Q391), $A$2:$P$352,2,FALSE)*'DGNB LCA Results'!$L$3+
                                                                VLOOKUP(CONCATENATE('DGNB LCA Results'!$I$3,"_",Q391),$A$2:$P$352,2,FALSE)*'DGNB LCA Results'!$J$3,
IF('DGNB LCA Results'!$P$4=2,VLOOKUP(CONCATENATE('DGNB LCA Results'!$M$3,"_",Q391), $A$2:$P$352,2,FALSE)*'DGNB LCA Results'!$N$3+
                                                                 VLOOKUP(CONCATENATE('DGNB LCA Results'!$K$3,"_",Q391),$A$2:$P$352,2,FALSE)*'DGNB LCA Results'!$L$3,
IF('DGNB LCA Results'!$P$4=1,VLOOKUP(CONCATENATE('DGNB LCA Results'!$M$3,"_",Q391), $A$2:$P$352,2,FALSE)*'DGNB LCA Results'!$N$3,0))))</f>
        <v>0</v>
      </c>
      <c r="C391" s="49">
        <f>IF('DGNB LCA Results'!$P$4=4,VLOOKUP(CONCATENATE('DGNB LCA Results'!$M$3,"_",Q391), $A$2:$P$352,3,FALSE)*'DGNB LCA Results'!$N$3+
                                                                  VLOOKUP(CONCATENATE('DGNB LCA Results'!$K$3,"_",Q391), $A$2:$P$352,3,FALSE)*'DGNB LCA Results'!$L$3+
                                                                  VLOOKUP(CONCATENATE('DGNB LCA Results'!$I$3,"_",Q391), $A$2:$P$352,3,FALSE)*'DGNB LCA Results'!$J$3+
                                                                  VLOOKUP(CONCATENATE('DGNB LCA Results'!$G$3,"_",Q391), $A$2:$P$352,3,FALSE)*'DGNB LCA Results'!$H$3,
IF('DGNB LCA Results'!$P$4=3,VLOOKUP(CONCATENATE('DGNB LCA Results'!$M$3,"_",Q391), $A$2:$P$352,3,FALSE)*'DGNB LCA Results'!$N$3+
                                                                VLOOKUP(CONCATENATE('DGNB LCA Results'!$K$3,"_",Q391), $A$2:$P$352,3,FALSE)*'DGNB LCA Results'!$L$3+
                                                                VLOOKUP(CONCATENATE('DGNB LCA Results'!$I$3,"_",Q391),$A$2:$P$352,3,FALSE)*'DGNB LCA Results'!$J$3,
IF('DGNB LCA Results'!$P$4=2,VLOOKUP(CONCATENATE('DGNB LCA Results'!$M$3,"_",Q391), $A$2:$P$352,3,FALSE)*'DGNB LCA Results'!$N$3+
                                                                 VLOOKUP(CONCATENATE('DGNB LCA Results'!$K$3,"_",Q391),$A$2:$P$352,3,FALSE)*'DGNB LCA Results'!$L$3,
IF('DGNB LCA Results'!$P$4=1,VLOOKUP(CONCATENATE('DGNB LCA Results'!$M$3,"_",Q391), $A$2:$P$352,3,FALSE)*'DGNB LCA Results'!$N$3,0))))</f>
        <v>0</v>
      </c>
      <c r="D391" s="49">
        <f>IF('DGNB LCA Results'!$P$4=4,VLOOKUP(CONCATENATE('DGNB LCA Results'!$M$3,"_",Q391), $A$2:$P$352,4,FALSE)*'DGNB LCA Results'!$N$3+
                                                                  VLOOKUP(CONCATENATE('DGNB LCA Results'!$K$3,"_",Q391), $A$2:$P$352,4,FALSE)*'DGNB LCA Results'!$L$3+
                                                                  VLOOKUP(CONCATENATE('DGNB LCA Results'!$I$3,"_",Q391), $A$2:$P$352,4,FALSE)*'DGNB LCA Results'!$J$3+
                                                                  VLOOKUP(CONCATENATE('DGNB LCA Results'!$G$3,"_",Q391), $A$2:$P$352,4,FALSE)*'DGNB LCA Results'!$H$3,
IF('DGNB LCA Results'!$P$4=3,VLOOKUP(CONCATENATE('DGNB LCA Results'!$M$3,"_",Q391), $A$2:$P$352,4,FALSE)*'DGNB LCA Results'!$N$3+
                                                                VLOOKUP(CONCATENATE('DGNB LCA Results'!$K$3,"_",Q391), $A$2:$P$352,4,FALSE)*'DGNB LCA Results'!$L$3+
                                                                VLOOKUP(CONCATENATE('DGNB LCA Results'!$I$3,"_",Q391),$A$2:$P$352,4,FALSE)*'DGNB LCA Results'!$J$3,
IF('DGNB LCA Results'!$P$4=2,VLOOKUP(CONCATENATE('DGNB LCA Results'!$M$3,"_",Q391), $A$2:$P$352,4,FALSE)*'DGNB LCA Results'!$N$3+
                                                                 VLOOKUP(CONCATENATE('DGNB LCA Results'!$K$3,"_",Q391),$A$2:$P$352,4,FALSE)*'DGNB LCA Results'!$L$3,
IF('DGNB LCA Results'!$P$4=1,VLOOKUP(CONCATENATE('DGNB LCA Results'!$M$3,"_",Q391), $A$2:$P$352,4,FALSE)*'DGNB LCA Results'!$N$3,0))))</f>
        <v>0</v>
      </c>
      <c r="E391" s="120">
        <f>IF('DGNB LCA Results'!$P$4=4,VLOOKUP(CONCATENATE('DGNB LCA Results'!$M$3,"_",Q391), $A$2:$P$352,5,FALSE)*'DGNB LCA Results'!$N$3+
                                                                  VLOOKUP(CONCATENATE('DGNB LCA Results'!$K$3,"_",Q391), $A$2:$P$352,5,FALSE)*'DGNB LCA Results'!$L$3+
                                                                  VLOOKUP(CONCATENATE('DGNB LCA Results'!$I$3,"_",Q391), $A$2:$P$352,5,FALSE)*'DGNB LCA Results'!$J$3+
                                                                  VLOOKUP(CONCATENATE('DGNB LCA Results'!$G$3,"_",Q391), $A$2:$P$352,5,FALSE)*'DGNB LCA Results'!$H$3,
IF('DGNB LCA Results'!$P$4=3,VLOOKUP(CONCATENATE('DGNB LCA Results'!$M$3,"_",Q391), $A$2:$P$352,5,FALSE)*'DGNB LCA Results'!$N$3+
                                                                VLOOKUP(CONCATENATE('DGNB LCA Results'!$K$3,"_",Q391), $A$2:$P$352,5,FALSE)*'DGNB LCA Results'!$L$3+
                                                                VLOOKUP(CONCATENATE('DGNB LCA Results'!$I$3,"_",Q391),$A$2:$P$352,5,FALSE)*'DGNB LCA Results'!$J$3,
IF('DGNB LCA Results'!$P$4=2,VLOOKUP(CONCATENATE('DGNB LCA Results'!$M$3,"_",Q391), $A$2:$P$352,5,FALSE)*'DGNB LCA Results'!$N$3+
                                                                 VLOOKUP(CONCATENATE('DGNB LCA Results'!$K$3,"_",Q391),$A$2:$P$352,5,FALSE)*'DGNB LCA Results'!$L$3,
IF('DGNB LCA Results'!$P$4=1,VLOOKUP(CONCATENATE('DGNB LCA Results'!$M$3,"_",Q391), $A$2:$P$352,5,FALSE)*'DGNB LCA Results'!$N$3,0))))</f>
        <v>0</v>
      </c>
      <c r="F391" s="47">
        <f>IF('DGNB LCA Results'!$P$4=4,VLOOKUP(CONCATENATE('DGNB LCA Results'!$M$3,"_",Q391), $A$2:$P$352,6,FALSE)*'DGNB LCA Results'!$N$3+
                                                                  VLOOKUP(CONCATENATE('DGNB LCA Results'!$K$3,"_",Q391), $A$2:$P$352,6,FALSE)*'DGNB LCA Results'!$L$3+
                                                                  VLOOKUP(CONCATENATE('DGNB LCA Results'!$I$3,"_",Q391), $A$2:$P$352,6,FALSE)*'DGNB LCA Results'!$J$3+
                                                                  VLOOKUP(CONCATENATE('DGNB LCA Results'!$G$3,"_",Q391), $A$2:$P$352,6,FALSE)*'DGNB LCA Results'!$H$3,
IF('DGNB LCA Results'!$P$4=3,VLOOKUP(CONCATENATE('DGNB LCA Results'!$M$3,"_",Q391), $A$2:$P$352,6,FALSE)*'DGNB LCA Results'!$N$3+
                                                                VLOOKUP(CONCATENATE('DGNB LCA Results'!$K$3,"_",Q391), $A$2:$P$352,6,FALSE)*'DGNB LCA Results'!$L$3+
                                                                VLOOKUP(CONCATENATE('DGNB LCA Results'!$I$3,"_",Q391),$A$2:$P$352,6,FALSE)*'DGNB LCA Results'!$J$3,
IF('DGNB LCA Results'!$P$4=2,VLOOKUP(CONCATENATE('DGNB LCA Results'!$M$3,"_",Q391), $A$2:$P$352,6,FALSE)*'DGNB LCA Results'!$N$3+
                                                                 VLOOKUP(CONCATENATE('DGNB LCA Results'!$K$3,"_",Q391),$A$2:$P$352,6,FALSE)*'DGNB LCA Results'!$L$3,
IF('DGNB LCA Results'!$P$4=1,VLOOKUP(CONCATENATE('DGNB LCA Results'!$M$3,"_",Q391), $A$2:$P$352,6,FALSE)*'DGNB LCA Results'!$N$3,0))))</f>
        <v>0</v>
      </c>
      <c r="G391" s="121">
        <f>IF('DGNB LCA Results'!$P$4=4,VLOOKUP(CONCATENATE('DGNB LCA Results'!$M$3,"_",Q391), $A$2:$P$352,7,FALSE)*'DGNB LCA Results'!$N$3+
                                                                  VLOOKUP(CONCATENATE('DGNB LCA Results'!$K$3,"_",Q391), $A$2:$P$352,7,FALSE)*'DGNB LCA Results'!$L$3+
                                                                  VLOOKUP(CONCATENATE('DGNB LCA Results'!$I$3,"_",Q391), $A$2:$P$352,7,FALSE)*'DGNB LCA Results'!$J$3+
                                                                  VLOOKUP(CONCATENATE('DGNB LCA Results'!$G$3,"_",Q391), $A$2:$P$352,7,FALSE)*'DGNB LCA Results'!$H$3,
IF('DGNB LCA Results'!$P$4=3,VLOOKUP(CONCATENATE('DGNB LCA Results'!$M$3,"_",Q391), $A$2:$P$352,7,FALSE)*'DGNB LCA Results'!$N$3+
                                                                VLOOKUP(CONCATENATE('DGNB LCA Results'!$K$3,"_",Q391), $A$2:$P$352,7,FALSE)*'DGNB LCA Results'!$L$3+
                                                                VLOOKUP(CONCATENATE('DGNB LCA Results'!$I$3,"_",Q391),$A$2:$P$352,7,FALSE)*'DGNB LCA Results'!$J$3,
IF('DGNB LCA Results'!$P$4=2,VLOOKUP(CONCATENATE('DGNB LCA Results'!$M$3,"_",Q391), $A$2:$P$352,7,FALSE)*'DGNB LCA Results'!$N$3+
                                                                 VLOOKUP(CONCATENATE('DGNB LCA Results'!$K$3,"_",Q391),$A$2:$P$352,7,FALSE)*'DGNB LCA Results'!$L$3,
IF('DGNB LCA Results'!$P$4=1,VLOOKUP(CONCATENATE('DGNB LCA Results'!$M$3,"_",Q391), $A$2:$P$352,7,FALSE)*'DGNB LCA Results'!$N$3,0))))</f>
        <v>0</v>
      </c>
      <c r="H391" s="120">
        <f>IF('DGNB LCA Results'!$P$4=4,VLOOKUP(CONCATENATE('DGNB LCA Results'!$M$3,"_",Q391), $A$2:$P$352,8,FALSE)*'DGNB LCA Results'!$N$3+
                                                                  VLOOKUP(CONCATENATE('DGNB LCA Results'!$K$3,"_",Q391), $A$2:$P$352,8,FALSE)*'DGNB LCA Results'!$L$3+
                                                                  VLOOKUP(CONCATENATE('DGNB LCA Results'!$I$3,"_",Q391), $A$2:$P$352,8,FALSE)*'DGNB LCA Results'!$J$3+
                                                                  VLOOKUP(CONCATENATE('DGNB LCA Results'!$G$3,"_",Q391), $A$2:$P$352,8,FALSE)*'DGNB LCA Results'!$H$3,
IF('DGNB LCA Results'!$P$4=3,VLOOKUP(CONCATENATE('DGNB LCA Results'!$M$3,"_",Q391), $A$2:$P$352,8,FALSE)*'DGNB LCA Results'!$N$3+
                                                                VLOOKUP(CONCATENATE('DGNB LCA Results'!$K$3,"_",Q391), $A$2:$P$352,8,FALSE)*'DGNB LCA Results'!$L$3+
                                                                VLOOKUP(CONCATENATE('DGNB LCA Results'!$I$3,"_",Q391),$A$2:$P$352,8,FALSE)*'DGNB LCA Results'!$J$3,
IF('DGNB LCA Results'!$P$4=2,VLOOKUP(CONCATENATE('DGNB LCA Results'!$M$3,"_",Q391), $A$2:$P$352,8,FALSE)*'DGNB LCA Results'!$N$3+
                                                                 VLOOKUP(CONCATENATE('DGNB LCA Results'!$K$3,"_",Q391),$A$2:$P$352,8,FALSE)*'DGNB LCA Results'!$L$3,
IF('DGNB LCA Results'!$P$4=1,VLOOKUP(CONCATENATE('DGNB LCA Results'!$M$3,"_",Q391), $A$2:$P$352,8,FALSE)*'DGNB LCA Results'!$N$3,0))))</f>
        <v>0</v>
      </c>
      <c r="I391" s="47">
        <f>IF('DGNB LCA Results'!$P$4=4,VLOOKUP(CONCATENATE('DGNB LCA Results'!$M$3,"_",Q391), $A$2:$P$352,9,FALSE)*'DGNB LCA Results'!$N$3+
                                                                  VLOOKUP(CONCATENATE('DGNB LCA Results'!$K$3,"_",Q391), $A$2:$P$352,9,FALSE)*'DGNB LCA Results'!$L$3+
                                                                  VLOOKUP(CONCATENATE('DGNB LCA Results'!$I$3,"_",Q391), $A$2:$P$352,9,FALSE)*'DGNB LCA Results'!$J$3+
                                                                  VLOOKUP(CONCATENATE('DGNB LCA Results'!$G$3,"_",Q391), $A$2:$P$352,9,FALSE)*'DGNB LCA Results'!$H$3,
IF('DGNB LCA Results'!$P$4=3,VLOOKUP(CONCATENATE('DGNB LCA Results'!$M$3,"_",Q391), $A$2:$P$352,9,FALSE)*'DGNB LCA Results'!$N$3+
                                                                VLOOKUP(CONCATENATE('DGNB LCA Results'!$K$3,"_",Q391), $A$2:$P$352,9,FALSE)*'DGNB LCA Results'!$L$3+
                                                                VLOOKUP(CONCATENATE('DGNB LCA Results'!$I$3,"_",Q391),$A$2:$P$352,9,FALSE)*'DGNB LCA Results'!$J$3,
IF('DGNB LCA Results'!$P$4=2,VLOOKUP(CONCATENATE('DGNB LCA Results'!$M$3,"_",Q391), $A$2:$P$352,9,FALSE)*'DGNB LCA Results'!$N$3+
                                                                 VLOOKUP(CONCATENATE('DGNB LCA Results'!$K$3,"_",Q391),$A$2:$P$352,9,FALSE)*'DGNB LCA Results'!$L$3,
IF('DGNB LCA Results'!$P$4=1,VLOOKUP(CONCATENATE('DGNB LCA Results'!$M$3,"_",Q391), $A$2:$P$352,9,FALSE)*'DGNB LCA Results'!$N$3,0))))</f>
        <v>0</v>
      </c>
      <c r="J391" s="121">
        <f>IF('DGNB LCA Results'!$P$4=4,VLOOKUP(CONCATENATE('DGNB LCA Results'!$M$3,"_",Q391), $A$2:$P$352,10,FALSE)*'DGNB LCA Results'!$N$3+
                                                                  VLOOKUP(CONCATENATE('DGNB LCA Results'!$K$3,"_",Q391), $A$2:$P$352,10,FALSE)*'DGNB LCA Results'!$L$3+
                                                                  VLOOKUP(CONCATENATE('DGNB LCA Results'!$I$3,"_",Q391), $A$2:$P$352,10,FALSE)*'DGNB LCA Results'!$J$3+
                                                                  VLOOKUP(CONCATENATE('DGNB LCA Results'!$G$3,"_",Q391), $A$2:$P$352,10,FALSE)*'DGNB LCA Results'!$H$3,
IF('DGNB LCA Results'!$P$4=3,VLOOKUP(CONCATENATE('DGNB LCA Results'!$M$3,"_",Q391), $A$2:$P$352,10,FALSE)*'DGNB LCA Results'!$N$3+
                                                                VLOOKUP(CONCATENATE('DGNB LCA Results'!$K$3,"_",Q391), $A$2:$P$352,10,FALSE)*'DGNB LCA Results'!$L$3+
                                                                VLOOKUP(CONCATENATE('DGNB LCA Results'!$I$3,"_",Q391),$A$2:$P$352,10,FALSE)*'DGNB LCA Results'!$J$3,
IF('DGNB LCA Results'!$P$4=2,VLOOKUP(CONCATENATE('DGNB LCA Results'!$M$3,"_",Q391), $A$2:$P$352,10,FALSE)*'DGNB LCA Results'!$N$3+
                                                                 VLOOKUP(CONCATENATE('DGNB LCA Results'!$K$3,"_",Q391),$A$2:$P$352,10,FALSE)*'DGNB LCA Results'!$L$3,
IF('DGNB LCA Results'!$P$4=1,VLOOKUP(CONCATENATE('DGNB LCA Results'!$M$3,"_",Q391), $A$2:$P$352,10,FALSE)*'DGNB LCA Results'!$N$3,0))))</f>
        <v>0</v>
      </c>
      <c r="K391" s="120">
        <f>IF('DGNB LCA Results'!$P$4=4,VLOOKUP(CONCATENATE('DGNB LCA Results'!$M$3,"_",Q391), $A$2:$P$352,11,FALSE)*'DGNB LCA Results'!$N$3+
                                                                  VLOOKUP(CONCATENATE('DGNB LCA Results'!$K$3,"_",Q391), $A$2:$P$352,11,FALSE)*'DGNB LCA Results'!$L$3+
                                                                  VLOOKUP(CONCATENATE('DGNB LCA Results'!$I$3,"_",Q391), $A$2:$P$352,11,FALSE)*'DGNB LCA Results'!$J$3+
                                                                  VLOOKUP(CONCATENATE('DGNB LCA Results'!$G$3,"_",Q391), $A$2:$P$352,11,FALSE)*'DGNB LCA Results'!$H$3,
IF('DGNB LCA Results'!$P$4=3,VLOOKUP(CONCATENATE('DGNB LCA Results'!$M$3,"_",Q391), $A$2:$P$352,11,FALSE)*'DGNB LCA Results'!$N$3+
                                                                VLOOKUP(CONCATENATE('DGNB LCA Results'!$K$3,"_",Q391), $A$2:$P$352,11,FALSE)*'DGNB LCA Results'!$L$3+
                                                                VLOOKUP(CONCATENATE('DGNB LCA Results'!$I$3,"_",Q391),$A$2:$P$352,11,FALSE)*'DGNB LCA Results'!$J$3,
IF('DGNB LCA Results'!$P$4=2,VLOOKUP(CONCATENATE('DGNB LCA Results'!$M$3,"_",Q391), $A$2:$P$352,11,FALSE)*'DGNB LCA Results'!$N$3+
                                                                 VLOOKUP(CONCATENATE('DGNB LCA Results'!$K$3,"_",Q391),$A$2:$P$352,11,FALSE)*'DGNB LCA Results'!$L$3,
IF('DGNB LCA Results'!$P$4=1,VLOOKUP(CONCATENATE('DGNB LCA Results'!$M$3,"_",Q391), $A$2:$P$352,11,FALSE)*'DGNB LCA Results'!$N$3,0))))</f>
        <v>0</v>
      </c>
      <c r="L391" s="47">
        <f>IF('DGNB LCA Results'!$P$4=4,VLOOKUP(CONCATENATE('DGNB LCA Results'!$M$3,"_",Q391), $A$2:$P$352,12,FALSE)*'DGNB LCA Results'!$N$3+
                                                                  VLOOKUP(CONCATENATE('DGNB LCA Results'!$K$3,"_",Q391), $A$2:$P$352,12,FALSE)*'DGNB LCA Results'!$L$3+
                                                                  VLOOKUP(CONCATENATE('DGNB LCA Results'!$I$3,"_",Q391), $A$2:$P$352,12,FALSE)*'DGNB LCA Results'!$J$3+
                                                                  VLOOKUP(CONCATENATE('DGNB LCA Results'!$G$3,"_",Q391), $A$2:$P$352,12,FALSE)*'DGNB LCA Results'!$H$3,
IF('DGNB LCA Results'!$P$4=3,VLOOKUP(CONCATENATE('DGNB LCA Results'!$M$3,"_",Q391), $A$2:$P$352,12,FALSE)*'DGNB LCA Results'!$N$3+
                                                                VLOOKUP(CONCATENATE('DGNB LCA Results'!$K$3,"_",Q391), $A$2:$P$352,12,FALSE)*'DGNB LCA Results'!$L$3+
                                                                VLOOKUP(CONCATENATE('DGNB LCA Results'!$I$3,"_",Q391),$A$2:$P$352,12,FALSE)*'DGNB LCA Results'!$J$3,
IF('DGNB LCA Results'!$P$4=2,VLOOKUP(CONCATENATE('DGNB LCA Results'!$M$3,"_",Q391), $A$2:$P$352,12,FALSE)*'DGNB LCA Results'!$N$3+
                                                                 VLOOKUP(CONCATENATE('DGNB LCA Results'!$K$3,"_",Q391),$A$2:$P$352,12,FALSE)*'DGNB LCA Results'!$L$3,
IF('DGNB LCA Results'!$P$4=1,VLOOKUP(CONCATENATE('DGNB LCA Results'!$M$3,"_",Q391), $A$2:$P$352,12,FALSE)*'DGNB LCA Results'!$N$3,0))))</f>
        <v>0</v>
      </c>
      <c r="M391" s="121">
        <f>IF('DGNB LCA Results'!$P$4=4,VLOOKUP(CONCATENATE('DGNB LCA Results'!$M$3,"_",Q391), $A$2:$P$352,13,FALSE)*'DGNB LCA Results'!$N$3+
                                                                  VLOOKUP(CONCATENATE('DGNB LCA Results'!$K$3,"_",Q391), $A$2:$P$352,13,FALSE)*'DGNB LCA Results'!$L$3+
                                                                  VLOOKUP(CONCATENATE('DGNB LCA Results'!$I$3,"_",Q391), $A$2:$P$352,13,FALSE)*'DGNB LCA Results'!$J$3+
                                                                  VLOOKUP(CONCATENATE('DGNB LCA Results'!$G$3,"_",Q391), $A$2:$P$352,13,FALSE)*'DGNB LCA Results'!$H$3,
IF('DGNB LCA Results'!$P$4=3,VLOOKUP(CONCATENATE('DGNB LCA Results'!$M$3,"_",Q391), $A$2:$P$352,13,FALSE)*'DGNB LCA Results'!$N$3+
                                                                VLOOKUP(CONCATENATE('DGNB LCA Results'!$K$3,"_",Q391), $A$2:$P$352,13,FALSE)*'DGNB LCA Results'!$L$3+
                                                                VLOOKUP(CONCATENATE('DGNB LCA Results'!$I$3,"_",Q391),$A$2:$P$352,13,FALSE)*'DGNB LCA Results'!$J$3,
IF('DGNB LCA Results'!$P$4=2,VLOOKUP(CONCATENATE('DGNB LCA Results'!$M$3,"_",Q391), $A$2:$P$352,13,FALSE)*'DGNB LCA Results'!$N$3+
                                                                 VLOOKUP(CONCATENATE('DGNB LCA Results'!$K$3,"_",Q391),$A$2:$P$352,13,FALSE)*'DGNB LCA Results'!$L$3,
IF('DGNB LCA Results'!$P$4=1,VLOOKUP(CONCATENATE('DGNB LCA Results'!$M$3,"_",Q391), $A$2:$P$352,13,FALSE)*'DGNB LCA Results'!$N$3,0))))</f>
        <v>0</v>
      </c>
      <c r="N391" s="120">
        <f>IF('DGNB LCA Results'!$P$4=4,VLOOKUP(CONCATENATE('DGNB LCA Results'!$M$3,"_",Q391), $A$2:$P$352,14,FALSE)*'DGNB LCA Results'!$N$3+
                                                                  VLOOKUP(CONCATENATE('DGNB LCA Results'!$K$3,"_",Q391), $A$2:$P$352,14,FALSE)*'DGNB LCA Results'!$L$3+
                                                                  VLOOKUP(CONCATENATE('DGNB LCA Results'!$I$3,"_",Q391), $A$2:$P$352,14,FALSE)*'DGNB LCA Results'!$J$3+
                                                                  VLOOKUP(CONCATENATE('DGNB LCA Results'!$G$3,"_",Q391), $A$2:$P$352,14,FALSE)*'DGNB LCA Results'!$H$3,
IF('DGNB LCA Results'!$P$4=3,VLOOKUP(CONCATENATE('DGNB LCA Results'!$M$3,"_",Q391), $A$2:$P$352,14,FALSE)*'DGNB LCA Results'!$N$3+
                                                                VLOOKUP(CONCATENATE('DGNB LCA Results'!$K$3,"_",Q391), $A$2:$P$352,14,FALSE)*'DGNB LCA Results'!$L$3+
                                                                VLOOKUP(CONCATENATE('DGNB LCA Results'!$I$3,"_",Q391),$A$2:$P$352,14,FALSE)*'DGNB LCA Results'!$J$3,
IF('DGNB LCA Results'!$P$4=2,VLOOKUP(CONCATENATE('DGNB LCA Results'!$M$3,"_",Q391), $A$2:$P$352,14,FALSE)*'DGNB LCA Results'!$N$3+
                                                                 VLOOKUP(CONCATENATE('DGNB LCA Results'!$K$3,"_",Q391),$A$2:$P$352,14,FALSE)*'DGNB LCA Results'!$L$3,
IF('DGNB LCA Results'!$P$4=1,VLOOKUP(CONCATENATE('DGNB LCA Results'!$M$3,"_",Q391), $A$2:$P$352,14,FALSE)*'DGNB LCA Results'!$N$3,0))))</f>
        <v>0</v>
      </c>
      <c r="O391" s="47">
        <f>IF('DGNB LCA Results'!$P$4=4,VLOOKUP(CONCATENATE('DGNB LCA Results'!$M$3,"_",Q391), $A$2:$P$352,15,FALSE)*'DGNB LCA Results'!$N$3+
                                                                  VLOOKUP(CONCATENATE('DGNB LCA Results'!$K$3,"_",Q391), $A$2:$P$352,15,FALSE)*'DGNB LCA Results'!$L$3+
                                                                  VLOOKUP(CONCATENATE('DGNB LCA Results'!$I$3,"_",Q391), $A$2:$P$352,15,FALSE)*'DGNB LCA Results'!$J$3+
                                                                  VLOOKUP(CONCATENATE('DGNB LCA Results'!$G$3,"_",Q391), $A$2:$P$352,15,FALSE)*'DGNB LCA Results'!$H$3,
IF('DGNB LCA Results'!$P$4=3,VLOOKUP(CONCATENATE('DGNB LCA Results'!$M$3,"_",Q391), $A$2:$P$352,15,FALSE)*'DGNB LCA Results'!$N$3+
                                                                VLOOKUP(CONCATENATE('DGNB LCA Results'!$K$3,"_",Q391), $A$2:$P$352,15,FALSE)*'DGNB LCA Results'!$L$3+
                                                                VLOOKUP(CONCATENATE('DGNB LCA Results'!$I$3,"_",Q391),$A$2:$P$352,15,FALSE)*'DGNB LCA Results'!$J$3,
IF('DGNB LCA Results'!$P$4=2,VLOOKUP(CONCATENATE('DGNB LCA Results'!$M$3,"_",Q391), $A$2:$P$352,15,FALSE)*'DGNB LCA Results'!$N$3+
                                                                 VLOOKUP(CONCATENATE('DGNB LCA Results'!$K$3,"_",Q391),$A$2:$P$352,15,FALSE)*'DGNB LCA Results'!$L$3,
IF('DGNB LCA Results'!$P$4=1,VLOOKUP(CONCATENATE('DGNB LCA Results'!$M$3,"_",Q391), $A$2:$P$352,15,FALSE)*'DGNB LCA Results'!$N$3,0))))</f>
        <v>0</v>
      </c>
      <c r="P391" s="121">
        <f>IF('DGNB LCA Results'!$P$4=4,VLOOKUP(CONCATENATE('DGNB LCA Results'!$M$3,"_",Q391), $A$2:$P$352,16,FALSE)*'DGNB LCA Results'!$N$3+
                                                                  VLOOKUP(CONCATENATE('DGNB LCA Results'!$K$3,"_",Q391), $A$2:$P$352,16,FALSE)*'DGNB LCA Results'!$L$3+
                                                                  VLOOKUP(CONCATENATE('DGNB LCA Results'!$I$3,"_",Q391), $A$2:$P$352,16,FALSE)*'DGNB LCA Results'!$J$3+
                                                                  VLOOKUP(CONCATENATE('DGNB LCA Results'!$G$3,"_",Q391), $A$2:$P$352,16,FALSE)*'DGNB LCA Results'!$H$3,
IF('DGNB LCA Results'!$P$4=3,VLOOKUP(CONCATENATE('DGNB LCA Results'!$M$3,"_",Q391), $A$2:$P$352,16,FALSE)*'DGNB LCA Results'!$N$3+
                                                                VLOOKUP(CONCATENATE('DGNB LCA Results'!$K$3,"_",Q391), $A$2:$P$352,16,FALSE)*'DGNB LCA Results'!$L$3+
                                                                VLOOKUP(CONCATENATE('DGNB LCA Results'!$I$3,"_",Q391),$A$2:$P$352,16,FALSE)*'DGNB LCA Results'!$J$3,
IF('DGNB LCA Results'!$P$4=2,VLOOKUP(CONCATENATE('DGNB LCA Results'!$M$3,"_",Q391), $A$2:$P$352,16,FALSE)*'DGNB LCA Results'!$N$3+
                                                                 VLOOKUP(CONCATENATE('DGNB LCA Results'!$K$3,"_",Q391),$A$2:$P$352,16,FALSE)*'DGNB LCA Results'!$L$3,
IF('DGNB LCA Results'!$P$4=1,VLOOKUP(CONCATENATE('DGNB LCA Results'!$M$3,"_",Q391), $A$2:$P$352,16,FALSE)*'DGNB LCA Results'!$N$3,0))))</f>
        <v>0</v>
      </c>
      <c r="Q391">
        <v>0</v>
      </c>
      <c r="R391" t="s">
        <v>192</v>
      </c>
    </row>
    <row r="392" spans="1:18" x14ac:dyDescent="0.2">
      <c r="A392" t="str">
        <f t="shared" si="7"/>
        <v>MIX18_40</v>
      </c>
      <c r="B392" s="120">
        <f>IF('DGNB LCA Results'!$P$4=4,VLOOKUP(CONCATENATE('DGNB LCA Results'!$M$3,"_",Q392), $A$2:$P$352,2,FALSE)*'DGNB LCA Results'!$N$3+
                                                                  VLOOKUP(CONCATENATE('DGNB LCA Results'!$K$3,"_",Q392), $A$2:$P$352,2,FALSE)*'DGNB LCA Results'!$L$3+
                                                                  VLOOKUP(CONCATENATE('DGNB LCA Results'!$I$3,"_",Q392), $A$2:$P$352,2,FALSE)*'DGNB LCA Results'!$J$3+
                                                                  VLOOKUP(CONCATENATE('DGNB LCA Results'!$G$3,"_",Q392), $A$2:$P$352,2,FALSE)*'DGNB LCA Results'!$H$3,
IF('DGNB LCA Results'!$P$4=3,VLOOKUP(CONCATENATE('DGNB LCA Results'!$M$3,"_",Q392), $A$2:$P$352,2,FALSE)*'DGNB LCA Results'!$N$3+
                                                                VLOOKUP(CONCATENATE('DGNB LCA Results'!$K$3,"_",Q392), $A$2:$P$352,2,FALSE)*'DGNB LCA Results'!$L$3+
                                                                VLOOKUP(CONCATENATE('DGNB LCA Results'!$I$3,"_",Q392),$A$2:$P$352,2,FALSE)*'DGNB LCA Results'!$J$3,
IF('DGNB LCA Results'!$P$4=2,VLOOKUP(CONCATENATE('DGNB LCA Results'!$M$3,"_",Q392), $A$2:$P$352,2,FALSE)*'DGNB LCA Results'!$N$3+
                                                                 VLOOKUP(CONCATENATE('DGNB LCA Results'!$K$3,"_",Q392),$A$2:$P$352,2,FALSE)*'DGNB LCA Results'!$L$3,
IF('DGNB LCA Results'!$P$4=1,VLOOKUP(CONCATENATE('DGNB LCA Results'!$M$3,"_",Q392), $A$2:$P$352,2,FALSE)*'DGNB LCA Results'!$N$3,0))))</f>
        <v>0</v>
      </c>
      <c r="C392" s="49">
        <f>IF('DGNB LCA Results'!$P$4=4,VLOOKUP(CONCATENATE('DGNB LCA Results'!$M$3,"_",Q392), $A$2:$P$352,3,FALSE)*'DGNB LCA Results'!$N$3+
                                                                  VLOOKUP(CONCATENATE('DGNB LCA Results'!$K$3,"_",Q392), $A$2:$P$352,3,FALSE)*'DGNB LCA Results'!$L$3+
                                                                  VLOOKUP(CONCATENATE('DGNB LCA Results'!$I$3,"_",Q392), $A$2:$P$352,3,FALSE)*'DGNB LCA Results'!$J$3+
                                                                  VLOOKUP(CONCATENATE('DGNB LCA Results'!$G$3,"_",Q392), $A$2:$P$352,3,FALSE)*'DGNB LCA Results'!$H$3,
IF('DGNB LCA Results'!$P$4=3,VLOOKUP(CONCATENATE('DGNB LCA Results'!$M$3,"_",Q392), $A$2:$P$352,3,FALSE)*'DGNB LCA Results'!$N$3+
                                                                VLOOKUP(CONCATENATE('DGNB LCA Results'!$K$3,"_",Q392), $A$2:$P$352,3,FALSE)*'DGNB LCA Results'!$L$3+
                                                                VLOOKUP(CONCATENATE('DGNB LCA Results'!$I$3,"_",Q392),$A$2:$P$352,3,FALSE)*'DGNB LCA Results'!$J$3,
IF('DGNB LCA Results'!$P$4=2,VLOOKUP(CONCATENATE('DGNB LCA Results'!$M$3,"_",Q392), $A$2:$P$352,3,FALSE)*'DGNB LCA Results'!$N$3+
                                                                 VLOOKUP(CONCATENATE('DGNB LCA Results'!$K$3,"_",Q392),$A$2:$P$352,3,FALSE)*'DGNB LCA Results'!$L$3,
IF('DGNB LCA Results'!$P$4=1,VLOOKUP(CONCATENATE('DGNB LCA Results'!$M$3,"_",Q392), $A$2:$P$352,3,FALSE)*'DGNB LCA Results'!$N$3,0))))</f>
        <v>0</v>
      </c>
      <c r="D392" s="49">
        <f>IF('DGNB LCA Results'!$P$4=4,VLOOKUP(CONCATENATE('DGNB LCA Results'!$M$3,"_",Q392), $A$2:$P$352,4,FALSE)*'DGNB LCA Results'!$N$3+
                                                                  VLOOKUP(CONCATENATE('DGNB LCA Results'!$K$3,"_",Q392), $A$2:$P$352,4,FALSE)*'DGNB LCA Results'!$L$3+
                                                                  VLOOKUP(CONCATENATE('DGNB LCA Results'!$I$3,"_",Q392), $A$2:$P$352,4,FALSE)*'DGNB LCA Results'!$J$3+
                                                                  VLOOKUP(CONCATENATE('DGNB LCA Results'!$G$3,"_",Q392), $A$2:$P$352,4,FALSE)*'DGNB LCA Results'!$H$3,
IF('DGNB LCA Results'!$P$4=3,VLOOKUP(CONCATENATE('DGNB LCA Results'!$M$3,"_",Q392), $A$2:$P$352,4,FALSE)*'DGNB LCA Results'!$N$3+
                                                                VLOOKUP(CONCATENATE('DGNB LCA Results'!$K$3,"_",Q392), $A$2:$P$352,4,FALSE)*'DGNB LCA Results'!$L$3+
                                                                VLOOKUP(CONCATENATE('DGNB LCA Results'!$I$3,"_",Q392),$A$2:$P$352,4,FALSE)*'DGNB LCA Results'!$J$3,
IF('DGNB LCA Results'!$P$4=2,VLOOKUP(CONCATENATE('DGNB LCA Results'!$M$3,"_",Q392), $A$2:$P$352,4,FALSE)*'DGNB LCA Results'!$N$3+
                                                                 VLOOKUP(CONCATENATE('DGNB LCA Results'!$K$3,"_",Q392),$A$2:$P$352,4,FALSE)*'DGNB LCA Results'!$L$3,
IF('DGNB LCA Results'!$P$4=1,VLOOKUP(CONCATENATE('DGNB LCA Results'!$M$3,"_",Q392), $A$2:$P$352,4,FALSE)*'DGNB LCA Results'!$N$3,0))))</f>
        <v>0</v>
      </c>
      <c r="E392" s="120">
        <f>IF('DGNB LCA Results'!$P$4=4,VLOOKUP(CONCATENATE('DGNB LCA Results'!$M$3,"_",Q392), $A$2:$P$352,5,FALSE)*'DGNB LCA Results'!$N$3+
                                                                  VLOOKUP(CONCATENATE('DGNB LCA Results'!$K$3,"_",Q392), $A$2:$P$352,5,FALSE)*'DGNB LCA Results'!$L$3+
                                                                  VLOOKUP(CONCATENATE('DGNB LCA Results'!$I$3,"_",Q392), $A$2:$P$352,5,FALSE)*'DGNB LCA Results'!$J$3+
                                                                  VLOOKUP(CONCATENATE('DGNB LCA Results'!$G$3,"_",Q392), $A$2:$P$352,5,FALSE)*'DGNB LCA Results'!$H$3,
IF('DGNB LCA Results'!$P$4=3,VLOOKUP(CONCATENATE('DGNB LCA Results'!$M$3,"_",Q392), $A$2:$P$352,5,FALSE)*'DGNB LCA Results'!$N$3+
                                                                VLOOKUP(CONCATENATE('DGNB LCA Results'!$K$3,"_",Q392), $A$2:$P$352,5,FALSE)*'DGNB LCA Results'!$L$3+
                                                                VLOOKUP(CONCATENATE('DGNB LCA Results'!$I$3,"_",Q392),$A$2:$P$352,5,FALSE)*'DGNB LCA Results'!$J$3,
IF('DGNB LCA Results'!$P$4=2,VLOOKUP(CONCATENATE('DGNB LCA Results'!$M$3,"_",Q392), $A$2:$P$352,5,FALSE)*'DGNB LCA Results'!$N$3+
                                                                 VLOOKUP(CONCATENATE('DGNB LCA Results'!$K$3,"_",Q392),$A$2:$P$352,5,FALSE)*'DGNB LCA Results'!$L$3,
IF('DGNB LCA Results'!$P$4=1,VLOOKUP(CONCATENATE('DGNB LCA Results'!$M$3,"_",Q392), $A$2:$P$352,5,FALSE)*'DGNB LCA Results'!$N$3,0))))</f>
        <v>0</v>
      </c>
      <c r="F392" s="47">
        <f>IF('DGNB LCA Results'!$P$4=4,VLOOKUP(CONCATENATE('DGNB LCA Results'!$M$3,"_",Q392), $A$2:$P$352,6,FALSE)*'DGNB LCA Results'!$N$3+
                                                                  VLOOKUP(CONCATENATE('DGNB LCA Results'!$K$3,"_",Q392), $A$2:$P$352,6,FALSE)*'DGNB LCA Results'!$L$3+
                                                                  VLOOKUP(CONCATENATE('DGNB LCA Results'!$I$3,"_",Q392), $A$2:$P$352,6,FALSE)*'DGNB LCA Results'!$J$3+
                                                                  VLOOKUP(CONCATENATE('DGNB LCA Results'!$G$3,"_",Q392), $A$2:$P$352,6,FALSE)*'DGNB LCA Results'!$H$3,
IF('DGNB LCA Results'!$P$4=3,VLOOKUP(CONCATENATE('DGNB LCA Results'!$M$3,"_",Q392), $A$2:$P$352,6,FALSE)*'DGNB LCA Results'!$N$3+
                                                                VLOOKUP(CONCATENATE('DGNB LCA Results'!$K$3,"_",Q392), $A$2:$P$352,6,FALSE)*'DGNB LCA Results'!$L$3+
                                                                VLOOKUP(CONCATENATE('DGNB LCA Results'!$I$3,"_",Q392),$A$2:$P$352,6,FALSE)*'DGNB LCA Results'!$J$3,
IF('DGNB LCA Results'!$P$4=2,VLOOKUP(CONCATENATE('DGNB LCA Results'!$M$3,"_",Q392), $A$2:$P$352,6,FALSE)*'DGNB LCA Results'!$N$3+
                                                                 VLOOKUP(CONCATENATE('DGNB LCA Results'!$K$3,"_",Q392),$A$2:$P$352,6,FALSE)*'DGNB LCA Results'!$L$3,
IF('DGNB LCA Results'!$P$4=1,VLOOKUP(CONCATENATE('DGNB LCA Results'!$M$3,"_",Q392), $A$2:$P$352,6,FALSE)*'DGNB LCA Results'!$N$3,0))))</f>
        <v>0</v>
      </c>
      <c r="G392" s="121">
        <f>IF('DGNB LCA Results'!$P$4=4,VLOOKUP(CONCATENATE('DGNB LCA Results'!$M$3,"_",Q392), $A$2:$P$352,7,FALSE)*'DGNB LCA Results'!$N$3+
                                                                  VLOOKUP(CONCATENATE('DGNB LCA Results'!$K$3,"_",Q392), $A$2:$P$352,7,FALSE)*'DGNB LCA Results'!$L$3+
                                                                  VLOOKUP(CONCATENATE('DGNB LCA Results'!$I$3,"_",Q392), $A$2:$P$352,7,FALSE)*'DGNB LCA Results'!$J$3+
                                                                  VLOOKUP(CONCATENATE('DGNB LCA Results'!$G$3,"_",Q392), $A$2:$P$352,7,FALSE)*'DGNB LCA Results'!$H$3,
IF('DGNB LCA Results'!$P$4=3,VLOOKUP(CONCATENATE('DGNB LCA Results'!$M$3,"_",Q392), $A$2:$P$352,7,FALSE)*'DGNB LCA Results'!$N$3+
                                                                VLOOKUP(CONCATENATE('DGNB LCA Results'!$K$3,"_",Q392), $A$2:$P$352,7,FALSE)*'DGNB LCA Results'!$L$3+
                                                                VLOOKUP(CONCATENATE('DGNB LCA Results'!$I$3,"_",Q392),$A$2:$P$352,7,FALSE)*'DGNB LCA Results'!$J$3,
IF('DGNB LCA Results'!$P$4=2,VLOOKUP(CONCATENATE('DGNB LCA Results'!$M$3,"_",Q392), $A$2:$P$352,7,FALSE)*'DGNB LCA Results'!$N$3+
                                                                 VLOOKUP(CONCATENATE('DGNB LCA Results'!$K$3,"_",Q392),$A$2:$P$352,7,FALSE)*'DGNB LCA Results'!$L$3,
IF('DGNB LCA Results'!$P$4=1,VLOOKUP(CONCATENATE('DGNB LCA Results'!$M$3,"_",Q392), $A$2:$P$352,7,FALSE)*'DGNB LCA Results'!$N$3,0))))</f>
        <v>0</v>
      </c>
      <c r="H392" s="120">
        <f>IF('DGNB LCA Results'!$P$4=4,VLOOKUP(CONCATENATE('DGNB LCA Results'!$M$3,"_",Q392), $A$2:$P$352,8,FALSE)*'DGNB LCA Results'!$N$3+
                                                                  VLOOKUP(CONCATENATE('DGNB LCA Results'!$K$3,"_",Q392), $A$2:$P$352,8,FALSE)*'DGNB LCA Results'!$L$3+
                                                                  VLOOKUP(CONCATENATE('DGNB LCA Results'!$I$3,"_",Q392), $A$2:$P$352,8,FALSE)*'DGNB LCA Results'!$J$3+
                                                                  VLOOKUP(CONCATENATE('DGNB LCA Results'!$G$3,"_",Q392), $A$2:$P$352,8,FALSE)*'DGNB LCA Results'!$H$3,
IF('DGNB LCA Results'!$P$4=3,VLOOKUP(CONCATENATE('DGNB LCA Results'!$M$3,"_",Q392), $A$2:$P$352,8,FALSE)*'DGNB LCA Results'!$N$3+
                                                                VLOOKUP(CONCATENATE('DGNB LCA Results'!$K$3,"_",Q392), $A$2:$P$352,8,FALSE)*'DGNB LCA Results'!$L$3+
                                                                VLOOKUP(CONCATENATE('DGNB LCA Results'!$I$3,"_",Q392),$A$2:$P$352,8,FALSE)*'DGNB LCA Results'!$J$3,
IF('DGNB LCA Results'!$P$4=2,VLOOKUP(CONCATENATE('DGNB LCA Results'!$M$3,"_",Q392), $A$2:$P$352,8,FALSE)*'DGNB LCA Results'!$N$3+
                                                                 VLOOKUP(CONCATENATE('DGNB LCA Results'!$K$3,"_",Q392),$A$2:$P$352,8,FALSE)*'DGNB LCA Results'!$L$3,
IF('DGNB LCA Results'!$P$4=1,VLOOKUP(CONCATENATE('DGNB LCA Results'!$M$3,"_",Q392), $A$2:$P$352,8,FALSE)*'DGNB LCA Results'!$N$3,0))))</f>
        <v>0</v>
      </c>
      <c r="I392" s="47">
        <f>IF('DGNB LCA Results'!$P$4=4,VLOOKUP(CONCATENATE('DGNB LCA Results'!$M$3,"_",Q392), $A$2:$P$352,9,FALSE)*'DGNB LCA Results'!$N$3+
                                                                  VLOOKUP(CONCATENATE('DGNB LCA Results'!$K$3,"_",Q392), $A$2:$P$352,9,FALSE)*'DGNB LCA Results'!$L$3+
                                                                  VLOOKUP(CONCATENATE('DGNB LCA Results'!$I$3,"_",Q392), $A$2:$P$352,9,FALSE)*'DGNB LCA Results'!$J$3+
                                                                  VLOOKUP(CONCATENATE('DGNB LCA Results'!$G$3,"_",Q392), $A$2:$P$352,9,FALSE)*'DGNB LCA Results'!$H$3,
IF('DGNB LCA Results'!$P$4=3,VLOOKUP(CONCATENATE('DGNB LCA Results'!$M$3,"_",Q392), $A$2:$P$352,9,FALSE)*'DGNB LCA Results'!$N$3+
                                                                VLOOKUP(CONCATENATE('DGNB LCA Results'!$K$3,"_",Q392), $A$2:$P$352,9,FALSE)*'DGNB LCA Results'!$L$3+
                                                                VLOOKUP(CONCATENATE('DGNB LCA Results'!$I$3,"_",Q392),$A$2:$P$352,9,FALSE)*'DGNB LCA Results'!$J$3,
IF('DGNB LCA Results'!$P$4=2,VLOOKUP(CONCATENATE('DGNB LCA Results'!$M$3,"_",Q392), $A$2:$P$352,9,FALSE)*'DGNB LCA Results'!$N$3+
                                                                 VLOOKUP(CONCATENATE('DGNB LCA Results'!$K$3,"_",Q392),$A$2:$P$352,9,FALSE)*'DGNB LCA Results'!$L$3,
IF('DGNB LCA Results'!$P$4=1,VLOOKUP(CONCATENATE('DGNB LCA Results'!$M$3,"_",Q392), $A$2:$P$352,9,FALSE)*'DGNB LCA Results'!$N$3,0))))</f>
        <v>0</v>
      </c>
      <c r="J392" s="121">
        <f>IF('DGNB LCA Results'!$P$4=4,VLOOKUP(CONCATENATE('DGNB LCA Results'!$M$3,"_",Q392), $A$2:$P$352,10,FALSE)*'DGNB LCA Results'!$N$3+
                                                                  VLOOKUP(CONCATENATE('DGNB LCA Results'!$K$3,"_",Q392), $A$2:$P$352,10,FALSE)*'DGNB LCA Results'!$L$3+
                                                                  VLOOKUP(CONCATENATE('DGNB LCA Results'!$I$3,"_",Q392), $A$2:$P$352,10,FALSE)*'DGNB LCA Results'!$J$3+
                                                                  VLOOKUP(CONCATENATE('DGNB LCA Results'!$G$3,"_",Q392), $A$2:$P$352,10,FALSE)*'DGNB LCA Results'!$H$3,
IF('DGNB LCA Results'!$P$4=3,VLOOKUP(CONCATENATE('DGNB LCA Results'!$M$3,"_",Q392), $A$2:$P$352,10,FALSE)*'DGNB LCA Results'!$N$3+
                                                                VLOOKUP(CONCATENATE('DGNB LCA Results'!$K$3,"_",Q392), $A$2:$P$352,10,FALSE)*'DGNB LCA Results'!$L$3+
                                                                VLOOKUP(CONCATENATE('DGNB LCA Results'!$I$3,"_",Q392),$A$2:$P$352,10,FALSE)*'DGNB LCA Results'!$J$3,
IF('DGNB LCA Results'!$P$4=2,VLOOKUP(CONCATENATE('DGNB LCA Results'!$M$3,"_",Q392), $A$2:$P$352,10,FALSE)*'DGNB LCA Results'!$N$3+
                                                                 VLOOKUP(CONCATENATE('DGNB LCA Results'!$K$3,"_",Q392),$A$2:$P$352,10,FALSE)*'DGNB LCA Results'!$L$3,
IF('DGNB LCA Results'!$P$4=1,VLOOKUP(CONCATENATE('DGNB LCA Results'!$M$3,"_",Q392), $A$2:$P$352,10,FALSE)*'DGNB LCA Results'!$N$3,0))))</f>
        <v>0</v>
      </c>
      <c r="K392" s="120">
        <f>IF('DGNB LCA Results'!$P$4=4,VLOOKUP(CONCATENATE('DGNB LCA Results'!$M$3,"_",Q392), $A$2:$P$352,11,FALSE)*'DGNB LCA Results'!$N$3+
                                                                  VLOOKUP(CONCATENATE('DGNB LCA Results'!$K$3,"_",Q392), $A$2:$P$352,11,FALSE)*'DGNB LCA Results'!$L$3+
                                                                  VLOOKUP(CONCATENATE('DGNB LCA Results'!$I$3,"_",Q392), $A$2:$P$352,11,FALSE)*'DGNB LCA Results'!$J$3+
                                                                  VLOOKUP(CONCATENATE('DGNB LCA Results'!$G$3,"_",Q392), $A$2:$P$352,11,FALSE)*'DGNB LCA Results'!$H$3,
IF('DGNB LCA Results'!$P$4=3,VLOOKUP(CONCATENATE('DGNB LCA Results'!$M$3,"_",Q392), $A$2:$P$352,11,FALSE)*'DGNB LCA Results'!$N$3+
                                                                VLOOKUP(CONCATENATE('DGNB LCA Results'!$K$3,"_",Q392), $A$2:$P$352,11,FALSE)*'DGNB LCA Results'!$L$3+
                                                                VLOOKUP(CONCATENATE('DGNB LCA Results'!$I$3,"_",Q392),$A$2:$P$352,11,FALSE)*'DGNB LCA Results'!$J$3,
IF('DGNB LCA Results'!$P$4=2,VLOOKUP(CONCATENATE('DGNB LCA Results'!$M$3,"_",Q392), $A$2:$P$352,11,FALSE)*'DGNB LCA Results'!$N$3+
                                                                 VLOOKUP(CONCATENATE('DGNB LCA Results'!$K$3,"_",Q392),$A$2:$P$352,11,FALSE)*'DGNB LCA Results'!$L$3,
IF('DGNB LCA Results'!$P$4=1,VLOOKUP(CONCATENATE('DGNB LCA Results'!$M$3,"_",Q392), $A$2:$P$352,11,FALSE)*'DGNB LCA Results'!$N$3,0))))</f>
        <v>0</v>
      </c>
      <c r="L392" s="47">
        <f>IF('DGNB LCA Results'!$P$4=4,VLOOKUP(CONCATENATE('DGNB LCA Results'!$M$3,"_",Q392), $A$2:$P$352,12,FALSE)*'DGNB LCA Results'!$N$3+
                                                                  VLOOKUP(CONCATENATE('DGNB LCA Results'!$K$3,"_",Q392), $A$2:$P$352,12,FALSE)*'DGNB LCA Results'!$L$3+
                                                                  VLOOKUP(CONCATENATE('DGNB LCA Results'!$I$3,"_",Q392), $A$2:$P$352,12,FALSE)*'DGNB LCA Results'!$J$3+
                                                                  VLOOKUP(CONCATENATE('DGNB LCA Results'!$G$3,"_",Q392), $A$2:$P$352,12,FALSE)*'DGNB LCA Results'!$H$3,
IF('DGNB LCA Results'!$P$4=3,VLOOKUP(CONCATENATE('DGNB LCA Results'!$M$3,"_",Q392), $A$2:$P$352,12,FALSE)*'DGNB LCA Results'!$N$3+
                                                                VLOOKUP(CONCATENATE('DGNB LCA Results'!$K$3,"_",Q392), $A$2:$P$352,12,FALSE)*'DGNB LCA Results'!$L$3+
                                                                VLOOKUP(CONCATENATE('DGNB LCA Results'!$I$3,"_",Q392),$A$2:$P$352,12,FALSE)*'DGNB LCA Results'!$J$3,
IF('DGNB LCA Results'!$P$4=2,VLOOKUP(CONCATENATE('DGNB LCA Results'!$M$3,"_",Q392), $A$2:$P$352,12,FALSE)*'DGNB LCA Results'!$N$3+
                                                                 VLOOKUP(CONCATENATE('DGNB LCA Results'!$K$3,"_",Q392),$A$2:$P$352,12,FALSE)*'DGNB LCA Results'!$L$3,
IF('DGNB LCA Results'!$P$4=1,VLOOKUP(CONCATENATE('DGNB LCA Results'!$M$3,"_",Q392), $A$2:$P$352,12,FALSE)*'DGNB LCA Results'!$N$3,0))))</f>
        <v>0</v>
      </c>
      <c r="M392" s="121">
        <f>IF('DGNB LCA Results'!$P$4=4,VLOOKUP(CONCATENATE('DGNB LCA Results'!$M$3,"_",Q392), $A$2:$P$352,13,FALSE)*'DGNB LCA Results'!$N$3+
                                                                  VLOOKUP(CONCATENATE('DGNB LCA Results'!$K$3,"_",Q392), $A$2:$P$352,13,FALSE)*'DGNB LCA Results'!$L$3+
                                                                  VLOOKUP(CONCATENATE('DGNB LCA Results'!$I$3,"_",Q392), $A$2:$P$352,13,FALSE)*'DGNB LCA Results'!$J$3+
                                                                  VLOOKUP(CONCATENATE('DGNB LCA Results'!$G$3,"_",Q392), $A$2:$P$352,13,FALSE)*'DGNB LCA Results'!$H$3,
IF('DGNB LCA Results'!$P$4=3,VLOOKUP(CONCATENATE('DGNB LCA Results'!$M$3,"_",Q392), $A$2:$P$352,13,FALSE)*'DGNB LCA Results'!$N$3+
                                                                VLOOKUP(CONCATENATE('DGNB LCA Results'!$K$3,"_",Q392), $A$2:$P$352,13,FALSE)*'DGNB LCA Results'!$L$3+
                                                                VLOOKUP(CONCATENATE('DGNB LCA Results'!$I$3,"_",Q392),$A$2:$P$352,13,FALSE)*'DGNB LCA Results'!$J$3,
IF('DGNB LCA Results'!$P$4=2,VLOOKUP(CONCATENATE('DGNB LCA Results'!$M$3,"_",Q392), $A$2:$P$352,13,FALSE)*'DGNB LCA Results'!$N$3+
                                                                 VLOOKUP(CONCATENATE('DGNB LCA Results'!$K$3,"_",Q392),$A$2:$P$352,13,FALSE)*'DGNB LCA Results'!$L$3,
IF('DGNB LCA Results'!$P$4=1,VLOOKUP(CONCATENATE('DGNB LCA Results'!$M$3,"_",Q392), $A$2:$P$352,13,FALSE)*'DGNB LCA Results'!$N$3,0))))</f>
        <v>0</v>
      </c>
      <c r="N392" s="120">
        <f>IF('DGNB LCA Results'!$P$4=4,VLOOKUP(CONCATENATE('DGNB LCA Results'!$M$3,"_",Q392), $A$2:$P$352,14,FALSE)*'DGNB LCA Results'!$N$3+
                                                                  VLOOKUP(CONCATENATE('DGNB LCA Results'!$K$3,"_",Q392), $A$2:$P$352,14,FALSE)*'DGNB LCA Results'!$L$3+
                                                                  VLOOKUP(CONCATENATE('DGNB LCA Results'!$I$3,"_",Q392), $A$2:$P$352,14,FALSE)*'DGNB LCA Results'!$J$3+
                                                                  VLOOKUP(CONCATENATE('DGNB LCA Results'!$G$3,"_",Q392), $A$2:$P$352,14,FALSE)*'DGNB LCA Results'!$H$3,
IF('DGNB LCA Results'!$P$4=3,VLOOKUP(CONCATENATE('DGNB LCA Results'!$M$3,"_",Q392), $A$2:$P$352,14,FALSE)*'DGNB LCA Results'!$N$3+
                                                                VLOOKUP(CONCATENATE('DGNB LCA Results'!$K$3,"_",Q392), $A$2:$P$352,14,FALSE)*'DGNB LCA Results'!$L$3+
                                                                VLOOKUP(CONCATENATE('DGNB LCA Results'!$I$3,"_",Q392),$A$2:$P$352,14,FALSE)*'DGNB LCA Results'!$J$3,
IF('DGNB LCA Results'!$P$4=2,VLOOKUP(CONCATENATE('DGNB LCA Results'!$M$3,"_",Q392), $A$2:$P$352,14,FALSE)*'DGNB LCA Results'!$N$3+
                                                                 VLOOKUP(CONCATENATE('DGNB LCA Results'!$K$3,"_",Q392),$A$2:$P$352,14,FALSE)*'DGNB LCA Results'!$L$3,
IF('DGNB LCA Results'!$P$4=1,VLOOKUP(CONCATENATE('DGNB LCA Results'!$M$3,"_",Q392), $A$2:$P$352,14,FALSE)*'DGNB LCA Results'!$N$3,0))))</f>
        <v>0</v>
      </c>
      <c r="O392" s="47">
        <f>IF('DGNB LCA Results'!$P$4=4,VLOOKUP(CONCATENATE('DGNB LCA Results'!$M$3,"_",Q392), $A$2:$P$352,15,FALSE)*'DGNB LCA Results'!$N$3+
                                                                  VLOOKUP(CONCATENATE('DGNB LCA Results'!$K$3,"_",Q392), $A$2:$P$352,15,FALSE)*'DGNB LCA Results'!$L$3+
                                                                  VLOOKUP(CONCATENATE('DGNB LCA Results'!$I$3,"_",Q392), $A$2:$P$352,15,FALSE)*'DGNB LCA Results'!$J$3+
                                                                  VLOOKUP(CONCATENATE('DGNB LCA Results'!$G$3,"_",Q392), $A$2:$P$352,15,FALSE)*'DGNB LCA Results'!$H$3,
IF('DGNB LCA Results'!$P$4=3,VLOOKUP(CONCATENATE('DGNB LCA Results'!$M$3,"_",Q392), $A$2:$P$352,15,FALSE)*'DGNB LCA Results'!$N$3+
                                                                VLOOKUP(CONCATENATE('DGNB LCA Results'!$K$3,"_",Q392), $A$2:$P$352,15,FALSE)*'DGNB LCA Results'!$L$3+
                                                                VLOOKUP(CONCATENATE('DGNB LCA Results'!$I$3,"_",Q392),$A$2:$P$352,15,FALSE)*'DGNB LCA Results'!$J$3,
IF('DGNB LCA Results'!$P$4=2,VLOOKUP(CONCATENATE('DGNB LCA Results'!$M$3,"_",Q392), $A$2:$P$352,15,FALSE)*'DGNB LCA Results'!$N$3+
                                                                 VLOOKUP(CONCATENATE('DGNB LCA Results'!$K$3,"_",Q392),$A$2:$P$352,15,FALSE)*'DGNB LCA Results'!$L$3,
IF('DGNB LCA Results'!$P$4=1,VLOOKUP(CONCATENATE('DGNB LCA Results'!$M$3,"_",Q392), $A$2:$P$352,15,FALSE)*'DGNB LCA Results'!$N$3,0))))</f>
        <v>0</v>
      </c>
      <c r="P392" s="121">
        <f>IF('DGNB LCA Results'!$P$4=4,VLOOKUP(CONCATENATE('DGNB LCA Results'!$M$3,"_",Q392), $A$2:$P$352,16,FALSE)*'DGNB LCA Results'!$N$3+
                                                                  VLOOKUP(CONCATENATE('DGNB LCA Results'!$K$3,"_",Q392), $A$2:$P$352,16,FALSE)*'DGNB LCA Results'!$L$3+
                                                                  VLOOKUP(CONCATENATE('DGNB LCA Results'!$I$3,"_",Q392), $A$2:$P$352,16,FALSE)*'DGNB LCA Results'!$J$3+
                                                                  VLOOKUP(CONCATENATE('DGNB LCA Results'!$G$3,"_",Q392), $A$2:$P$352,16,FALSE)*'DGNB LCA Results'!$H$3,
IF('DGNB LCA Results'!$P$4=3,VLOOKUP(CONCATENATE('DGNB LCA Results'!$M$3,"_",Q392), $A$2:$P$352,16,FALSE)*'DGNB LCA Results'!$N$3+
                                                                VLOOKUP(CONCATENATE('DGNB LCA Results'!$K$3,"_",Q392), $A$2:$P$352,16,FALSE)*'DGNB LCA Results'!$L$3+
                                                                VLOOKUP(CONCATENATE('DGNB LCA Results'!$I$3,"_",Q392),$A$2:$P$352,16,FALSE)*'DGNB LCA Results'!$J$3,
IF('DGNB LCA Results'!$P$4=2,VLOOKUP(CONCATENATE('DGNB LCA Results'!$M$3,"_",Q392), $A$2:$P$352,16,FALSE)*'DGNB LCA Results'!$N$3+
                                                                 VLOOKUP(CONCATENATE('DGNB LCA Results'!$K$3,"_",Q392),$A$2:$P$352,16,FALSE)*'DGNB LCA Results'!$L$3,
IF('DGNB LCA Results'!$P$4=1,VLOOKUP(CONCATENATE('DGNB LCA Results'!$M$3,"_",Q392), $A$2:$P$352,16,FALSE)*'DGNB LCA Results'!$N$3,0))))</f>
        <v>0</v>
      </c>
      <c r="Q392">
        <v>40</v>
      </c>
      <c r="R392" t="s">
        <v>192</v>
      </c>
    </row>
    <row r="393" spans="1:18" x14ac:dyDescent="0.2">
      <c r="A393" t="str">
        <f t="shared" si="7"/>
        <v>MIX18_80</v>
      </c>
      <c r="B393" s="120">
        <f>IF('DGNB LCA Results'!$P$4=4,VLOOKUP(CONCATENATE('DGNB LCA Results'!$M$3,"_",Q393), $A$2:$P$352,2,FALSE)*'DGNB LCA Results'!$N$3+
                                                                  VLOOKUP(CONCATENATE('DGNB LCA Results'!$K$3,"_",Q393), $A$2:$P$352,2,FALSE)*'DGNB LCA Results'!$L$3+
                                                                  VLOOKUP(CONCATENATE('DGNB LCA Results'!$I$3,"_",Q393), $A$2:$P$352,2,FALSE)*'DGNB LCA Results'!$J$3+
                                                                  VLOOKUP(CONCATENATE('DGNB LCA Results'!$G$3,"_",Q393), $A$2:$P$352,2,FALSE)*'DGNB LCA Results'!$H$3,
IF('DGNB LCA Results'!$P$4=3,VLOOKUP(CONCATENATE('DGNB LCA Results'!$M$3,"_",Q393), $A$2:$P$352,2,FALSE)*'DGNB LCA Results'!$N$3+
                                                                VLOOKUP(CONCATENATE('DGNB LCA Results'!$K$3,"_",Q393), $A$2:$P$352,2,FALSE)*'DGNB LCA Results'!$L$3+
                                                                VLOOKUP(CONCATENATE('DGNB LCA Results'!$I$3,"_",Q393),$A$2:$P$352,2,FALSE)*'DGNB LCA Results'!$J$3,
IF('DGNB LCA Results'!$P$4=2,VLOOKUP(CONCATENATE('DGNB LCA Results'!$M$3,"_",Q393), $A$2:$P$352,2,FALSE)*'DGNB LCA Results'!$N$3+
                                                                 VLOOKUP(CONCATENATE('DGNB LCA Results'!$K$3,"_",Q393),$A$2:$P$352,2,FALSE)*'DGNB LCA Results'!$L$3,
IF('DGNB LCA Results'!$P$4=1,VLOOKUP(CONCATENATE('DGNB LCA Results'!$M$3,"_",Q393), $A$2:$P$352,2,FALSE)*'DGNB LCA Results'!$N$3,0))))</f>
        <v>0</v>
      </c>
      <c r="C393" s="49">
        <f>IF('DGNB LCA Results'!$P$4=4,VLOOKUP(CONCATENATE('DGNB LCA Results'!$M$3,"_",Q393), $A$2:$P$352,3,FALSE)*'DGNB LCA Results'!$N$3+
                                                                  VLOOKUP(CONCATENATE('DGNB LCA Results'!$K$3,"_",Q393), $A$2:$P$352,3,FALSE)*'DGNB LCA Results'!$L$3+
                                                                  VLOOKUP(CONCATENATE('DGNB LCA Results'!$I$3,"_",Q393), $A$2:$P$352,3,FALSE)*'DGNB LCA Results'!$J$3+
                                                                  VLOOKUP(CONCATENATE('DGNB LCA Results'!$G$3,"_",Q393), $A$2:$P$352,3,FALSE)*'DGNB LCA Results'!$H$3,
IF('DGNB LCA Results'!$P$4=3,VLOOKUP(CONCATENATE('DGNB LCA Results'!$M$3,"_",Q393), $A$2:$P$352,3,FALSE)*'DGNB LCA Results'!$N$3+
                                                                VLOOKUP(CONCATENATE('DGNB LCA Results'!$K$3,"_",Q393), $A$2:$P$352,3,FALSE)*'DGNB LCA Results'!$L$3+
                                                                VLOOKUP(CONCATENATE('DGNB LCA Results'!$I$3,"_",Q393),$A$2:$P$352,3,FALSE)*'DGNB LCA Results'!$J$3,
IF('DGNB LCA Results'!$P$4=2,VLOOKUP(CONCATENATE('DGNB LCA Results'!$M$3,"_",Q393), $A$2:$P$352,3,FALSE)*'DGNB LCA Results'!$N$3+
                                                                 VLOOKUP(CONCATENATE('DGNB LCA Results'!$K$3,"_",Q393),$A$2:$P$352,3,FALSE)*'DGNB LCA Results'!$L$3,
IF('DGNB LCA Results'!$P$4=1,VLOOKUP(CONCATENATE('DGNB LCA Results'!$M$3,"_",Q393), $A$2:$P$352,3,FALSE)*'DGNB LCA Results'!$N$3,0))))</f>
        <v>0</v>
      </c>
      <c r="D393" s="49">
        <f>IF('DGNB LCA Results'!$P$4=4,VLOOKUP(CONCATENATE('DGNB LCA Results'!$M$3,"_",Q393), $A$2:$P$352,4,FALSE)*'DGNB LCA Results'!$N$3+
                                                                  VLOOKUP(CONCATENATE('DGNB LCA Results'!$K$3,"_",Q393), $A$2:$P$352,4,FALSE)*'DGNB LCA Results'!$L$3+
                                                                  VLOOKUP(CONCATENATE('DGNB LCA Results'!$I$3,"_",Q393), $A$2:$P$352,4,FALSE)*'DGNB LCA Results'!$J$3+
                                                                  VLOOKUP(CONCATENATE('DGNB LCA Results'!$G$3,"_",Q393), $A$2:$P$352,4,FALSE)*'DGNB LCA Results'!$H$3,
IF('DGNB LCA Results'!$P$4=3,VLOOKUP(CONCATENATE('DGNB LCA Results'!$M$3,"_",Q393), $A$2:$P$352,4,FALSE)*'DGNB LCA Results'!$N$3+
                                                                VLOOKUP(CONCATENATE('DGNB LCA Results'!$K$3,"_",Q393), $A$2:$P$352,4,FALSE)*'DGNB LCA Results'!$L$3+
                                                                VLOOKUP(CONCATENATE('DGNB LCA Results'!$I$3,"_",Q393),$A$2:$P$352,4,FALSE)*'DGNB LCA Results'!$J$3,
IF('DGNB LCA Results'!$P$4=2,VLOOKUP(CONCATENATE('DGNB LCA Results'!$M$3,"_",Q393), $A$2:$P$352,4,FALSE)*'DGNB LCA Results'!$N$3+
                                                                 VLOOKUP(CONCATENATE('DGNB LCA Results'!$K$3,"_",Q393),$A$2:$P$352,4,FALSE)*'DGNB LCA Results'!$L$3,
IF('DGNB LCA Results'!$P$4=1,VLOOKUP(CONCATENATE('DGNB LCA Results'!$M$3,"_",Q393), $A$2:$P$352,4,FALSE)*'DGNB LCA Results'!$N$3,0))))</f>
        <v>0</v>
      </c>
      <c r="E393" s="120">
        <f>IF('DGNB LCA Results'!$P$4=4,VLOOKUP(CONCATENATE('DGNB LCA Results'!$M$3,"_",Q393), $A$2:$P$352,5,FALSE)*'DGNB LCA Results'!$N$3+
                                                                  VLOOKUP(CONCATENATE('DGNB LCA Results'!$K$3,"_",Q393), $A$2:$P$352,5,FALSE)*'DGNB LCA Results'!$L$3+
                                                                  VLOOKUP(CONCATENATE('DGNB LCA Results'!$I$3,"_",Q393), $A$2:$P$352,5,FALSE)*'DGNB LCA Results'!$J$3+
                                                                  VLOOKUP(CONCATENATE('DGNB LCA Results'!$G$3,"_",Q393), $A$2:$P$352,5,FALSE)*'DGNB LCA Results'!$H$3,
IF('DGNB LCA Results'!$P$4=3,VLOOKUP(CONCATENATE('DGNB LCA Results'!$M$3,"_",Q393), $A$2:$P$352,5,FALSE)*'DGNB LCA Results'!$N$3+
                                                                VLOOKUP(CONCATENATE('DGNB LCA Results'!$K$3,"_",Q393), $A$2:$P$352,5,FALSE)*'DGNB LCA Results'!$L$3+
                                                                VLOOKUP(CONCATENATE('DGNB LCA Results'!$I$3,"_",Q393),$A$2:$P$352,5,FALSE)*'DGNB LCA Results'!$J$3,
IF('DGNB LCA Results'!$P$4=2,VLOOKUP(CONCATENATE('DGNB LCA Results'!$M$3,"_",Q393), $A$2:$P$352,5,FALSE)*'DGNB LCA Results'!$N$3+
                                                                 VLOOKUP(CONCATENATE('DGNB LCA Results'!$K$3,"_",Q393),$A$2:$P$352,5,FALSE)*'DGNB LCA Results'!$L$3,
IF('DGNB LCA Results'!$P$4=1,VLOOKUP(CONCATENATE('DGNB LCA Results'!$M$3,"_",Q393), $A$2:$P$352,5,FALSE)*'DGNB LCA Results'!$N$3,0))))</f>
        <v>0</v>
      </c>
      <c r="F393" s="47">
        <f>IF('DGNB LCA Results'!$P$4=4,VLOOKUP(CONCATENATE('DGNB LCA Results'!$M$3,"_",Q393), $A$2:$P$352,6,FALSE)*'DGNB LCA Results'!$N$3+
                                                                  VLOOKUP(CONCATENATE('DGNB LCA Results'!$K$3,"_",Q393), $A$2:$P$352,6,FALSE)*'DGNB LCA Results'!$L$3+
                                                                  VLOOKUP(CONCATENATE('DGNB LCA Results'!$I$3,"_",Q393), $A$2:$P$352,6,FALSE)*'DGNB LCA Results'!$J$3+
                                                                  VLOOKUP(CONCATENATE('DGNB LCA Results'!$G$3,"_",Q393), $A$2:$P$352,6,FALSE)*'DGNB LCA Results'!$H$3,
IF('DGNB LCA Results'!$P$4=3,VLOOKUP(CONCATENATE('DGNB LCA Results'!$M$3,"_",Q393), $A$2:$P$352,6,FALSE)*'DGNB LCA Results'!$N$3+
                                                                VLOOKUP(CONCATENATE('DGNB LCA Results'!$K$3,"_",Q393), $A$2:$P$352,6,FALSE)*'DGNB LCA Results'!$L$3+
                                                                VLOOKUP(CONCATENATE('DGNB LCA Results'!$I$3,"_",Q393),$A$2:$P$352,6,FALSE)*'DGNB LCA Results'!$J$3,
IF('DGNB LCA Results'!$P$4=2,VLOOKUP(CONCATENATE('DGNB LCA Results'!$M$3,"_",Q393), $A$2:$P$352,6,FALSE)*'DGNB LCA Results'!$N$3+
                                                                 VLOOKUP(CONCATENATE('DGNB LCA Results'!$K$3,"_",Q393),$A$2:$P$352,6,FALSE)*'DGNB LCA Results'!$L$3,
IF('DGNB LCA Results'!$P$4=1,VLOOKUP(CONCATENATE('DGNB LCA Results'!$M$3,"_",Q393), $A$2:$P$352,6,FALSE)*'DGNB LCA Results'!$N$3,0))))</f>
        <v>0</v>
      </c>
      <c r="G393" s="121">
        <f>IF('DGNB LCA Results'!$P$4=4,VLOOKUP(CONCATENATE('DGNB LCA Results'!$M$3,"_",Q393), $A$2:$P$352,7,FALSE)*'DGNB LCA Results'!$N$3+
                                                                  VLOOKUP(CONCATENATE('DGNB LCA Results'!$K$3,"_",Q393), $A$2:$P$352,7,FALSE)*'DGNB LCA Results'!$L$3+
                                                                  VLOOKUP(CONCATENATE('DGNB LCA Results'!$I$3,"_",Q393), $A$2:$P$352,7,FALSE)*'DGNB LCA Results'!$J$3+
                                                                  VLOOKUP(CONCATENATE('DGNB LCA Results'!$G$3,"_",Q393), $A$2:$P$352,7,FALSE)*'DGNB LCA Results'!$H$3,
IF('DGNB LCA Results'!$P$4=3,VLOOKUP(CONCATENATE('DGNB LCA Results'!$M$3,"_",Q393), $A$2:$P$352,7,FALSE)*'DGNB LCA Results'!$N$3+
                                                                VLOOKUP(CONCATENATE('DGNB LCA Results'!$K$3,"_",Q393), $A$2:$P$352,7,FALSE)*'DGNB LCA Results'!$L$3+
                                                                VLOOKUP(CONCATENATE('DGNB LCA Results'!$I$3,"_",Q393),$A$2:$P$352,7,FALSE)*'DGNB LCA Results'!$J$3,
IF('DGNB LCA Results'!$P$4=2,VLOOKUP(CONCATENATE('DGNB LCA Results'!$M$3,"_",Q393), $A$2:$P$352,7,FALSE)*'DGNB LCA Results'!$N$3+
                                                                 VLOOKUP(CONCATENATE('DGNB LCA Results'!$K$3,"_",Q393),$A$2:$P$352,7,FALSE)*'DGNB LCA Results'!$L$3,
IF('DGNB LCA Results'!$P$4=1,VLOOKUP(CONCATENATE('DGNB LCA Results'!$M$3,"_",Q393), $A$2:$P$352,7,FALSE)*'DGNB LCA Results'!$N$3,0))))</f>
        <v>0</v>
      </c>
      <c r="H393" s="120">
        <f>IF('DGNB LCA Results'!$P$4=4,VLOOKUP(CONCATENATE('DGNB LCA Results'!$M$3,"_",Q393), $A$2:$P$352,8,FALSE)*'DGNB LCA Results'!$N$3+
                                                                  VLOOKUP(CONCATENATE('DGNB LCA Results'!$K$3,"_",Q393), $A$2:$P$352,8,FALSE)*'DGNB LCA Results'!$L$3+
                                                                  VLOOKUP(CONCATENATE('DGNB LCA Results'!$I$3,"_",Q393), $A$2:$P$352,8,FALSE)*'DGNB LCA Results'!$J$3+
                                                                  VLOOKUP(CONCATENATE('DGNB LCA Results'!$G$3,"_",Q393), $A$2:$P$352,8,FALSE)*'DGNB LCA Results'!$H$3,
IF('DGNB LCA Results'!$P$4=3,VLOOKUP(CONCATENATE('DGNB LCA Results'!$M$3,"_",Q393), $A$2:$P$352,8,FALSE)*'DGNB LCA Results'!$N$3+
                                                                VLOOKUP(CONCATENATE('DGNB LCA Results'!$K$3,"_",Q393), $A$2:$P$352,8,FALSE)*'DGNB LCA Results'!$L$3+
                                                                VLOOKUP(CONCATENATE('DGNB LCA Results'!$I$3,"_",Q393),$A$2:$P$352,8,FALSE)*'DGNB LCA Results'!$J$3,
IF('DGNB LCA Results'!$P$4=2,VLOOKUP(CONCATENATE('DGNB LCA Results'!$M$3,"_",Q393), $A$2:$P$352,8,FALSE)*'DGNB LCA Results'!$N$3+
                                                                 VLOOKUP(CONCATENATE('DGNB LCA Results'!$K$3,"_",Q393),$A$2:$P$352,8,FALSE)*'DGNB LCA Results'!$L$3,
IF('DGNB LCA Results'!$P$4=1,VLOOKUP(CONCATENATE('DGNB LCA Results'!$M$3,"_",Q393), $A$2:$P$352,8,FALSE)*'DGNB LCA Results'!$N$3,0))))</f>
        <v>0</v>
      </c>
      <c r="I393" s="47">
        <f>IF('DGNB LCA Results'!$P$4=4,VLOOKUP(CONCATENATE('DGNB LCA Results'!$M$3,"_",Q393), $A$2:$P$352,9,FALSE)*'DGNB LCA Results'!$N$3+
                                                                  VLOOKUP(CONCATENATE('DGNB LCA Results'!$K$3,"_",Q393), $A$2:$P$352,9,FALSE)*'DGNB LCA Results'!$L$3+
                                                                  VLOOKUP(CONCATENATE('DGNB LCA Results'!$I$3,"_",Q393), $A$2:$P$352,9,FALSE)*'DGNB LCA Results'!$J$3+
                                                                  VLOOKUP(CONCATENATE('DGNB LCA Results'!$G$3,"_",Q393), $A$2:$P$352,9,FALSE)*'DGNB LCA Results'!$H$3,
IF('DGNB LCA Results'!$P$4=3,VLOOKUP(CONCATENATE('DGNB LCA Results'!$M$3,"_",Q393), $A$2:$P$352,9,FALSE)*'DGNB LCA Results'!$N$3+
                                                                VLOOKUP(CONCATENATE('DGNB LCA Results'!$K$3,"_",Q393), $A$2:$P$352,9,FALSE)*'DGNB LCA Results'!$L$3+
                                                                VLOOKUP(CONCATENATE('DGNB LCA Results'!$I$3,"_",Q393),$A$2:$P$352,9,FALSE)*'DGNB LCA Results'!$J$3,
IF('DGNB LCA Results'!$P$4=2,VLOOKUP(CONCATENATE('DGNB LCA Results'!$M$3,"_",Q393), $A$2:$P$352,9,FALSE)*'DGNB LCA Results'!$N$3+
                                                                 VLOOKUP(CONCATENATE('DGNB LCA Results'!$K$3,"_",Q393),$A$2:$P$352,9,FALSE)*'DGNB LCA Results'!$L$3,
IF('DGNB LCA Results'!$P$4=1,VLOOKUP(CONCATENATE('DGNB LCA Results'!$M$3,"_",Q393), $A$2:$P$352,9,FALSE)*'DGNB LCA Results'!$N$3,0))))</f>
        <v>0</v>
      </c>
      <c r="J393" s="121">
        <f>IF('DGNB LCA Results'!$P$4=4,VLOOKUP(CONCATENATE('DGNB LCA Results'!$M$3,"_",Q393), $A$2:$P$352,10,FALSE)*'DGNB LCA Results'!$N$3+
                                                                  VLOOKUP(CONCATENATE('DGNB LCA Results'!$K$3,"_",Q393), $A$2:$P$352,10,FALSE)*'DGNB LCA Results'!$L$3+
                                                                  VLOOKUP(CONCATENATE('DGNB LCA Results'!$I$3,"_",Q393), $A$2:$P$352,10,FALSE)*'DGNB LCA Results'!$J$3+
                                                                  VLOOKUP(CONCATENATE('DGNB LCA Results'!$G$3,"_",Q393), $A$2:$P$352,10,FALSE)*'DGNB LCA Results'!$H$3,
IF('DGNB LCA Results'!$P$4=3,VLOOKUP(CONCATENATE('DGNB LCA Results'!$M$3,"_",Q393), $A$2:$P$352,10,FALSE)*'DGNB LCA Results'!$N$3+
                                                                VLOOKUP(CONCATENATE('DGNB LCA Results'!$K$3,"_",Q393), $A$2:$P$352,10,FALSE)*'DGNB LCA Results'!$L$3+
                                                                VLOOKUP(CONCATENATE('DGNB LCA Results'!$I$3,"_",Q393),$A$2:$P$352,10,FALSE)*'DGNB LCA Results'!$J$3,
IF('DGNB LCA Results'!$P$4=2,VLOOKUP(CONCATENATE('DGNB LCA Results'!$M$3,"_",Q393), $A$2:$P$352,10,FALSE)*'DGNB LCA Results'!$N$3+
                                                                 VLOOKUP(CONCATENATE('DGNB LCA Results'!$K$3,"_",Q393),$A$2:$P$352,10,FALSE)*'DGNB LCA Results'!$L$3,
IF('DGNB LCA Results'!$P$4=1,VLOOKUP(CONCATENATE('DGNB LCA Results'!$M$3,"_",Q393), $A$2:$P$352,10,FALSE)*'DGNB LCA Results'!$N$3,0))))</f>
        <v>0</v>
      </c>
      <c r="K393" s="120">
        <f>IF('DGNB LCA Results'!$P$4=4,VLOOKUP(CONCATENATE('DGNB LCA Results'!$M$3,"_",Q393), $A$2:$P$352,11,FALSE)*'DGNB LCA Results'!$N$3+
                                                                  VLOOKUP(CONCATENATE('DGNB LCA Results'!$K$3,"_",Q393), $A$2:$P$352,11,FALSE)*'DGNB LCA Results'!$L$3+
                                                                  VLOOKUP(CONCATENATE('DGNB LCA Results'!$I$3,"_",Q393), $A$2:$P$352,11,FALSE)*'DGNB LCA Results'!$J$3+
                                                                  VLOOKUP(CONCATENATE('DGNB LCA Results'!$G$3,"_",Q393), $A$2:$P$352,11,FALSE)*'DGNB LCA Results'!$H$3,
IF('DGNB LCA Results'!$P$4=3,VLOOKUP(CONCATENATE('DGNB LCA Results'!$M$3,"_",Q393), $A$2:$P$352,11,FALSE)*'DGNB LCA Results'!$N$3+
                                                                VLOOKUP(CONCATENATE('DGNB LCA Results'!$K$3,"_",Q393), $A$2:$P$352,11,FALSE)*'DGNB LCA Results'!$L$3+
                                                                VLOOKUP(CONCATENATE('DGNB LCA Results'!$I$3,"_",Q393),$A$2:$P$352,11,FALSE)*'DGNB LCA Results'!$J$3,
IF('DGNB LCA Results'!$P$4=2,VLOOKUP(CONCATENATE('DGNB LCA Results'!$M$3,"_",Q393), $A$2:$P$352,11,FALSE)*'DGNB LCA Results'!$N$3+
                                                                 VLOOKUP(CONCATENATE('DGNB LCA Results'!$K$3,"_",Q393),$A$2:$P$352,11,FALSE)*'DGNB LCA Results'!$L$3,
IF('DGNB LCA Results'!$P$4=1,VLOOKUP(CONCATENATE('DGNB LCA Results'!$M$3,"_",Q393), $A$2:$P$352,11,FALSE)*'DGNB LCA Results'!$N$3,0))))</f>
        <v>0</v>
      </c>
      <c r="L393" s="47">
        <f>IF('DGNB LCA Results'!$P$4=4,VLOOKUP(CONCATENATE('DGNB LCA Results'!$M$3,"_",Q393), $A$2:$P$352,12,FALSE)*'DGNB LCA Results'!$N$3+
                                                                  VLOOKUP(CONCATENATE('DGNB LCA Results'!$K$3,"_",Q393), $A$2:$P$352,12,FALSE)*'DGNB LCA Results'!$L$3+
                                                                  VLOOKUP(CONCATENATE('DGNB LCA Results'!$I$3,"_",Q393), $A$2:$P$352,12,FALSE)*'DGNB LCA Results'!$J$3+
                                                                  VLOOKUP(CONCATENATE('DGNB LCA Results'!$G$3,"_",Q393), $A$2:$P$352,12,FALSE)*'DGNB LCA Results'!$H$3,
IF('DGNB LCA Results'!$P$4=3,VLOOKUP(CONCATENATE('DGNB LCA Results'!$M$3,"_",Q393), $A$2:$P$352,12,FALSE)*'DGNB LCA Results'!$N$3+
                                                                VLOOKUP(CONCATENATE('DGNB LCA Results'!$K$3,"_",Q393), $A$2:$P$352,12,FALSE)*'DGNB LCA Results'!$L$3+
                                                                VLOOKUP(CONCATENATE('DGNB LCA Results'!$I$3,"_",Q393),$A$2:$P$352,12,FALSE)*'DGNB LCA Results'!$J$3,
IF('DGNB LCA Results'!$P$4=2,VLOOKUP(CONCATENATE('DGNB LCA Results'!$M$3,"_",Q393), $A$2:$P$352,12,FALSE)*'DGNB LCA Results'!$N$3+
                                                                 VLOOKUP(CONCATENATE('DGNB LCA Results'!$K$3,"_",Q393),$A$2:$P$352,12,FALSE)*'DGNB LCA Results'!$L$3,
IF('DGNB LCA Results'!$P$4=1,VLOOKUP(CONCATENATE('DGNB LCA Results'!$M$3,"_",Q393), $A$2:$P$352,12,FALSE)*'DGNB LCA Results'!$N$3,0))))</f>
        <v>0</v>
      </c>
      <c r="M393" s="121">
        <f>IF('DGNB LCA Results'!$P$4=4,VLOOKUP(CONCATENATE('DGNB LCA Results'!$M$3,"_",Q393), $A$2:$P$352,13,FALSE)*'DGNB LCA Results'!$N$3+
                                                                  VLOOKUP(CONCATENATE('DGNB LCA Results'!$K$3,"_",Q393), $A$2:$P$352,13,FALSE)*'DGNB LCA Results'!$L$3+
                                                                  VLOOKUP(CONCATENATE('DGNB LCA Results'!$I$3,"_",Q393), $A$2:$P$352,13,FALSE)*'DGNB LCA Results'!$J$3+
                                                                  VLOOKUP(CONCATENATE('DGNB LCA Results'!$G$3,"_",Q393), $A$2:$P$352,13,FALSE)*'DGNB LCA Results'!$H$3,
IF('DGNB LCA Results'!$P$4=3,VLOOKUP(CONCATENATE('DGNB LCA Results'!$M$3,"_",Q393), $A$2:$P$352,13,FALSE)*'DGNB LCA Results'!$N$3+
                                                                VLOOKUP(CONCATENATE('DGNB LCA Results'!$K$3,"_",Q393), $A$2:$P$352,13,FALSE)*'DGNB LCA Results'!$L$3+
                                                                VLOOKUP(CONCATENATE('DGNB LCA Results'!$I$3,"_",Q393),$A$2:$P$352,13,FALSE)*'DGNB LCA Results'!$J$3,
IF('DGNB LCA Results'!$P$4=2,VLOOKUP(CONCATENATE('DGNB LCA Results'!$M$3,"_",Q393), $A$2:$P$352,13,FALSE)*'DGNB LCA Results'!$N$3+
                                                                 VLOOKUP(CONCATENATE('DGNB LCA Results'!$K$3,"_",Q393),$A$2:$P$352,13,FALSE)*'DGNB LCA Results'!$L$3,
IF('DGNB LCA Results'!$P$4=1,VLOOKUP(CONCATENATE('DGNB LCA Results'!$M$3,"_",Q393), $A$2:$P$352,13,FALSE)*'DGNB LCA Results'!$N$3,0))))</f>
        <v>0</v>
      </c>
      <c r="N393" s="120">
        <f>IF('DGNB LCA Results'!$P$4=4,VLOOKUP(CONCATENATE('DGNB LCA Results'!$M$3,"_",Q393), $A$2:$P$352,14,FALSE)*'DGNB LCA Results'!$N$3+
                                                                  VLOOKUP(CONCATENATE('DGNB LCA Results'!$K$3,"_",Q393), $A$2:$P$352,14,FALSE)*'DGNB LCA Results'!$L$3+
                                                                  VLOOKUP(CONCATENATE('DGNB LCA Results'!$I$3,"_",Q393), $A$2:$P$352,14,FALSE)*'DGNB LCA Results'!$J$3+
                                                                  VLOOKUP(CONCATENATE('DGNB LCA Results'!$G$3,"_",Q393), $A$2:$P$352,14,FALSE)*'DGNB LCA Results'!$H$3,
IF('DGNB LCA Results'!$P$4=3,VLOOKUP(CONCATENATE('DGNB LCA Results'!$M$3,"_",Q393), $A$2:$P$352,14,FALSE)*'DGNB LCA Results'!$N$3+
                                                                VLOOKUP(CONCATENATE('DGNB LCA Results'!$K$3,"_",Q393), $A$2:$P$352,14,FALSE)*'DGNB LCA Results'!$L$3+
                                                                VLOOKUP(CONCATENATE('DGNB LCA Results'!$I$3,"_",Q393),$A$2:$P$352,14,FALSE)*'DGNB LCA Results'!$J$3,
IF('DGNB LCA Results'!$P$4=2,VLOOKUP(CONCATENATE('DGNB LCA Results'!$M$3,"_",Q393), $A$2:$P$352,14,FALSE)*'DGNB LCA Results'!$N$3+
                                                                 VLOOKUP(CONCATENATE('DGNB LCA Results'!$K$3,"_",Q393),$A$2:$P$352,14,FALSE)*'DGNB LCA Results'!$L$3,
IF('DGNB LCA Results'!$P$4=1,VLOOKUP(CONCATENATE('DGNB LCA Results'!$M$3,"_",Q393), $A$2:$P$352,14,FALSE)*'DGNB LCA Results'!$N$3,0))))</f>
        <v>0</v>
      </c>
      <c r="O393" s="47">
        <f>IF('DGNB LCA Results'!$P$4=4,VLOOKUP(CONCATENATE('DGNB LCA Results'!$M$3,"_",Q393), $A$2:$P$352,15,FALSE)*'DGNB LCA Results'!$N$3+
                                                                  VLOOKUP(CONCATENATE('DGNB LCA Results'!$K$3,"_",Q393), $A$2:$P$352,15,FALSE)*'DGNB LCA Results'!$L$3+
                                                                  VLOOKUP(CONCATENATE('DGNB LCA Results'!$I$3,"_",Q393), $A$2:$P$352,15,FALSE)*'DGNB LCA Results'!$J$3+
                                                                  VLOOKUP(CONCATENATE('DGNB LCA Results'!$G$3,"_",Q393), $A$2:$P$352,15,FALSE)*'DGNB LCA Results'!$H$3,
IF('DGNB LCA Results'!$P$4=3,VLOOKUP(CONCATENATE('DGNB LCA Results'!$M$3,"_",Q393), $A$2:$P$352,15,FALSE)*'DGNB LCA Results'!$N$3+
                                                                VLOOKUP(CONCATENATE('DGNB LCA Results'!$K$3,"_",Q393), $A$2:$P$352,15,FALSE)*'DGNB LCA Results'!$L$3+
                                                                VLOOKUP(CONCATENATE('DGNB LCA Results'!$I$3,"_",Q393),$A$2:$P$352,15,FALSE)*'DGNB LCA Results'!$J$3,
IF('DGNB LCA Results'!$P$4=2,VLOOKUP(CONCATENATE('DGNB LCA Results'!$M$3,"_",Q393), $A$2:$P$352,15,FALSE)*'DGNB LCA Results'!$N$3+
                                                                 VLOOKUP(CONCATENATE('DGNB LCA Results'!$K$3,"_",Q393),$A$2:$P$352,15,FALSE)*'DGNB LCA Results'!$L$3,
IF('DGNB LCA Results'!$P$4=1,VLOOKUP(CONCATENATE('DGNB LCA Results'!$M$3,"_",Q393), $A$2:$P$352,15,FALSE)*'DGNB LCA Results'!$N$3,0))))</f>
        <v>0</v>
      </c>
      <c r="P393" s="121">
        <f>IF('DGNB LCA Results'!$P$4=4,VLOOKUP(CONCATENATE('DGNB LCA Results'!$M$3,"_",Q393), $A$2:$P$352,16,FALSE)*'DGNB LCA Results'!$N$3+
                                                                  VLOOKUP(CONCATENATE('DGNB LCA Results'!$K$3,"_",Q393), $A$2:$P$352,16,FALSE)*'DGNB LCA Results'!$L$3+
                                                                  VLOOKUP(CONCATENATE('DGNB LCA Results'!$I$3,"_",Q393), $A$2:$P$352,16,FALSE)*'DGNB LCA Results'!$J$3+
                                                                  VLOOKUP(CONCATENATE('DGNB LCA Results'!$G$3,"_",Q393), $A$2:$P$352,16,FALSE)*'DGNB LCA Results'!$H$3,
IF('DGNB LCA Results'!$P$4=3,VLOOKUP(CONCATENATE('DGNB LCA Results'!$M$3,"_",Q393), $A$2:$P$352,16,FALSE)*'DGNB LCA Results'!$N$3+
                                                                VLOOKUP(CONCATENATE('DGNB LCA Results'!$K$3,"_",Q393), $A$2:$P$352,16,FALSE)*'DGNB LCA Results'!$L$3+
                                                                VLOOKUP(CONCATENATE('DGNB LCA Results'!$I$3,"_",Q393),$A$2:$P$352,16,FALSE)*'DGNB LCA Results'!$J$3,
IF('DGNB LCA Results'!$P$4=2,VLOOKUP(CONCATENATE('DGNB LCA Results'!$M$3,"_",Q393), $A$2:$P$352,16,FALSE)*'DGNB LCA Results'!$N$3+
                                                                 VLOOKUP(CONCATENATE('DGNB LCA Results'!$K$3,"_",Q393),$A$2:$P$352,16,FALSE)*'DGNB LCA Results'!$L$3,
IF('DGNB LCA Results'!$P$4=1,VLOOKUP(CONCATENATE('DGNB LCA Results'!$M$3,"_",Q393), $A$2:$P$352,16,FALSE)*'DGNB LCA Results'!$N$3,0))))</f>
        <v>0</v>
      </c>
      <c r="Q393">
        <v>80</v>
      </c>
      <c r="R393" t="s">
        <v>192</v>
      </c>
    </row>
    <row r="394" spans="1:18" x14ac:dyDescent="0.2">
      <c r="A394" t="str">
        <f t="shared" si="7"/>
        <v>MIX18_100</v>
      </c>
      <c r="B394" s="120">
        <f>IF('DGNB LCA Results'!$P$4=4,VLOOKUP(CONCATENATE('DGNB LCA Results'!$M$3,"_",Q394), $A$2:$P$352,2,FALSE)*'DGNB LCA Results'!$N$3+
                                                                  VLOOKUP(CONCATENATE('DGNB LCA Results'!$K$3,"_",Q394), $A$2:$P$352,2,FALSE)*'DGNB LCA Results'!$L$3+
                                                                  VLOOKUP(CONCATENATE('DGNB LCA Results'!$I$3,"_",Q394), $A$2:$P$352,2,FALSE)*'DGNB LCA Results'!$J$3+
                                                                  VLOOKUP(CONCATENATE('DGNB LCA Results'!$G$3,"_",Q394), $A$2:$P$352,2,FALSE)*'DGNB LCA Results'!$H$3,
IF('DGNB LCA Results'!$P$4=3,VLOOKUP(CONCATENATE('DGNB LCA Results'!$M$3,"_",Q394), $A$2:$P$352,2,FALSE)*'DGNB LCA Results'!$N$3+
                                                                VLOOKUP(CONCATENATE('DGNB LCA Results'!$K$3,"_",Q394), $A$2:$P$352,2,FALSE)*'DGNB LCA Results'!$L$3+
                                                                VLOOKUP(CONCATENATE('DGNB LCA Results'!$I$3,"_",Q394),$A$2:$P$352,2,FALSE)*'DGNB LCA Results'!$J$3,
IF('DGNB LCA Results'!$P$4=2,VLOOKUP(CONCATENATE('DGNB LCA Results'!$M$3,"_",Q394), $A$2:$P$352,2,FALSE)*'DGNB LCA Results'!$N$3+
                                                                 VLOOKUP(CONCATENATE('DGNB LCA Results'!$K$3,"_",Q394),$A$2:$P$352,2,FALSE)*'DGNB LCA Results'!$L$3,
IF('DGNB LCA Results'!$P$4=1,VLOOKUP(CONCATENATE('DGNB LCA Results'!$M$3,"_",Q394), $A$2:$P$352,2,FALSE)*'DGNB LCA Results'!$N$3,0))))</f>
        <v>0</v>
      </c>
      <c r="C394" s="49">
        <f>IF('DGNB LCA Results'!$P$4=4,VLOOKUP(CONCATENATE('DGNB LCA Results'!$M$3,"_",Q394), $A$2:$P$352,3,FALSE)*'DGNB LCA Results'!$N$3+
                                                                  VLOOKUP(CONCATENATE('DGNB LCA Results'!$K$3,"_",Q394), $A$2:$P$352,3,FALSE)*'DGNB LCA Results'!$L$3+
                                                                  VLOOKUP(CONCATENATE('DGNB LCA Results'!$I$3,"_",Q394), $A$2:$P$352,3,FALSE)*'DGNB LCA Results'!$J$3+
                                                                  VLOOKUP(CONCATENATE('DGNB LCA Results'!$G$3,"_",Q394), $A$2:$P$352,3,FALSE)*'DGNB LCA Results'!$H$3,
IF('DGNB LCA Results'!$P$4=3,VLOOKUP(CONCATENATE('DGNB LCA Results'!$M$3,"_",Q394), $A$2:$P$352,3,FALSE)*'DGNB LCA Results'!$N$3+
                                                                VLOOKUP(CONCATENATE('DGNB LCA Results'!$K$3,"_",Q394), $A$2:$P$352,3,FALSE)*'DGNB LCA Results'!$L$3+
                                                                VLOOKUP(CONCATENATE('DGNB LCA Results'!$I$3,"_",Q394),$A$2:$P$352,3,FALSE)*'DGNB LCA Results'!$J$3,
IF('DGNB LCA Results'!$P$4=2,VLOOKUP(CONCATENATE('DGNB LCA Results'!$M$3,"_",Q394), $A$2:$P$352,3,FALSE)*'DGNB LCA Results'!$N$3+
                                                                 VLOOKUP(CONCATENATE('DGNB LCA Results'!$K$3,"_",Q394),$A$2:$P$352,3,FALSE)*'DGNB LCA Results'!$L$3,
IF('DGNB LCA Results'!$P$4=1,VLOOKUP(CONCATENATE('DGNB LCA Results'!$M$3,"_",Q394), $A$2:$P$352,3,FALSE)*'DGNB LCA Results'!$N$3,0))))</f>
        <v>0</v>
      </c>
      <c r="D394" s="49">
        <f>IF('DGNB LCA Results'!$P$4=4,VLOOKUP(CONCATENATE('DGNB LCA Results'!$M$3,"_",Q394), $A$2:$P$352,4,FALSE)*'DGNB LCA Results'!$N$3+
                                                                  VLOOKUP(CONCATENATE('DGNB LCA Results'!$K$3,"_",Q394), $A$2:$P$352,4,FALSE)*'DGNB LCA Results'!$L$3+
                                                                  VLOOKUP(CONCATENATE('DGNB LCA Results'!$I$3,"_",Q394), $A$2:$P$352,4,FALSE)*'DGNB LCA Results'!$J$3+
                                                                  VLOOKUP(CONCATENATE('DGNB LCA Results'!$G$3,"_",Q394), $A$2:$P$352,4,FALSE)*'DGNB LCA Results'!$H$3,
IF('DGNB LCA Results'!$P$4=3,VLOOKUP(CONCATENATE('DGNB LCA Results'!$M$3,"_",Q394), $A$2:$P$352,4,FALSE)*'DGNB LCA Results'!$N$3+
                                                                VLOOKUP(CONCATENATE('DGNB LCA Results'!$K$3,"_",Q394), $A$2:$P$352,4,FALSE)*'DGNB LCA Results'!$L$3+
                                                                VLOOKUP(CONCATENATE('DGNB LCA Results'!$I$3,"_",Q394),$A$2:$P$352,4,FALSE)*'DGNB LCA Results'!$J$3,
IF('DGNB LCA Results'!$P$4=2,VLOOKUP(CONCATENATE('DGNB LCA Results'!$M$3,"_",Q394), $A$2:$P$352,4,FALSE)*'DGNB LCA Results'!$N$3+
                                                                 VLOOKUP(CONCATENATE('DGNB LCA Results'!$K$3,"_",Q394),$A$2:$P$352,4,FALSE)*'DGNB LCA Results'!$L$3,
IF('DGNB LCA Results'!$P$4=1,VLOOKUP(CONCATENATE('DGNB LCA Results'!$M$3,"_",Q394), $A$2:$P$352,4,FALSE)*'DGNB LCA Results'!$N$3,0))))</f>
        <v>0</v>
      </c>
      <c r="E394" s="120">
        <f>IF('DGNB LCA Results'!$P$4=4,VLOOKUP(CONCATENATE('DGNB LCA Results'!$M$3,"_",Q394), $A$2:$P$352,5,FALSE)*'DGNB LCA Results'!$N$3+
                                                                  VLOOKUP(CONCATENATE('DGNB LCA Results'!$K$3,"_",Q394), $A$2:$P$352,5,FALSE)*'DGNB LCA Results'!$L$3+
                                                                  VLOOKUP(CONCATENATE('DGNB LCA Results'!$I$3,"_",Q394), $A$2:$P$352,5,FALSE)*'DGNB LCA Results'!$J$3+
                                                                  VLOOKUP(CONCATENATE('DGNB LCA Results'!$G$3,"_",Q394), $A$2:$P$352,5,FALSE)*'DGNB LCA Results'!$H$3,
IF('DGNB LCA Results'!$P$4=3,VLOOKUP(CONCATENATE('DGNB LCA Results'!$M$3,"_",Q394), $A$2:$P$352,5,FALSE)*'DGNB LCA Results'!$N$3+
                                                                VLOOKUP(CONCATENATE('DGNB LCA Results'!$K$3,"_",Q394), $A$2:$P$352,5,FALSE)*'DGNB LCA Results'!$L$3+
                                                                VLOOKUP(CONCATENATE('DGNB LCA Results'!$I$3,"_",Q394),$A$2:$P$352,5,FALSE)*'DGNB LCA Results'!$J$3,
IF('DGNB LCA Results'!$P$4=2,VLOOKUP(CONCATENATE('DGNB LCA Results'!$M$3,"_",Q394), $A$2:$P$352,5,FALSE)*'DGNB LCA Results'!$N$3+
                                                                 VLOOKUP(CONCATENATE('DGNB LCA Results'!$K$3,"_",Q394),$A$2:$P$352,5,FALSE)*'DGNB LCA Results'!$L$3,
IF('DGNB LCA Results'!$P$4=1,VLOOKUP(CONCATENATE('DGNB LCA Results'!$M$3,"_",Q394), $A$2:$P$352,5,FALSE)*'DGNB LCA Results'!$N$3,0))))</f>
        <v>0</v>
      </c>
      <c r="F394" s="47">
        <f>IF('DGNB LCA Results'!$P$4=4,VLOOKUP(CONCATENATE('DGNB LCA Results'!$M$3,"_",Q394), $A$2:$P$352,6,FALSE)*'DGNB LCA Results'!$N$3+
                                                                  VLOOKUP(CONCATENATE('DGNB LCA Results'!$K$3,"_",Q394), $A$2:$P$352,6,FALSE)*'DGNB LCA Results'!$L$3+
                                                                  VLOOKUP(CONCATENATE('DGNB LCA Results'!$I$3,"_",Q394), $A$2:$P$352,6,FALSE)*'DGNB LCA Results'!$J$3+
                                                                  VLOOKUP(CONCATENATE('DGNB LCA Results'!$G$3,"_",Q394), $A$2:$P$352,6,FALSE)*'DGNB LCA Results'!$H$3,
IF('DGNB LCA Results'!$P$4=3,VLOOKUP(CONCATENATE('DGNB LCA Results'!$M$3,"_",Q394), $A$2:$P$352,6,FALSE)*'DGNB LCA Results'!$N$3+
                                                                VLOOKUP(CONCATENATE('DGNB LCA Results'!$K$3,"_",Q394), $A$2:$P$352,6,FALSE)*'DGNB LCA Results'!$L$3+
                                                                VLOOKUP(CONCATENATE('DGNB LCA Results'!$I$3,"_",Q394),$A$2:$P$352,6,FALSE)*'DGNB LCA Results'!$J$3,
IF('DGNB LCA Results'!$P$4=2,VLOOKUP(CONCATENATE('DGNB LCA Results'!$M$3,"_",Q394), $A$2:$P$352,6,FALSE)*'DGNB LCA Results'!$N$3+
                                                                 VLOOKUP(CONCATENATE('DGNB LCA Results'!$K$3,"_",Q394),$A$2:$P$352,6,FALSE)*'DGNB LCA Results'!$L$3,
IF('DGNB LCA Results'!$P$4=1,VLOOKUP(CONCATENATE('DGNB LCA Results'!$M$3,"_",Q394), $A$2:$P$352,6,FALSE)*'DGNB LCA Results'!$N$3,0))))</f>
        <v>0</v>
      </c>
      <c r="G394" s="121">
        <f>IF('DGNB LCA Results'!$P$4=4,VLOOKUP(CONCATENATE('DGNB LCA Results'!$M$3,"_",Q394), $A$2:$P$352,7,FALSE)*'DGNB LCA Results'!$N$3+
                                                                  VLOOKUP(CONCATENATE('DGNB LCA Results'!$K$3,"_",Q394), $A$2:$P$352,7,FALSE)*'DGNB LCA Results'!$L$3+
                                                                  VLOOKUP(CONCATENATE('DGNB LCA Results'!$I$3,"_",Q394), $A$2:$P$352,7,FALSE)*'DGNB LCA Results'!$J$3+
                                                                  VLOOKUP(CONCATENATE('DGNB LCA Results'!$G$3,"_",Q394), $A$2:$P$352,7,FALSE)*'DGNB LCA Results'!$H$3,
IF('DGNB LCA Results'!$P$4=3,VLOOKUP(CONCATENATE('DGNB LCA Results'!$M$3,"_",Q394), $A$2:$P$352,7,FALSE)*'DGNB LCA Results'!$N$3+
                                                                VLOOKUP(CONCATENATE('DGNB LCA Results'!$K$3,"_",Q394), $A$2:$P$352,7,FALSE)*'DGNB LCA Results'!$L$3+
                                                                VLOOKUP(CONCATENATE('DGNB LCA Results'!$I$3,"_",Q394),$A$2:$P$352,7,FALSE)*'DGNB LCA Results'!$J$3,
IF('DGNB LCA Results'!$P$4=2,VLOOKUP(CONCATENATE('DGNB LCA Results'!$M$3,"_",Q394), $A$2:$P$352,7,FALSE)*'DGNB LCA Results'!$N$3+
                                                                 VLOOKUP(CONCATENATE('DGNB LCA Results'!$K$3,"_",Q394),$A$2:$P$352,7,FALSE)*'DGNB LCA Results'!$L$3,
IF('DGNB LCA Results'!$P$4=1,VLOOKUP(CONCATENATE('DGNB LCA Results'!$M$3,"_",Q394), $A$2:$P$352,7,FALSE)*'DGNB LCA Results'!$N$3,0))))</f>
        <v>0</v>
      </c>
      <c r="H394" s="120">
        <f>IF('DGNB LCA Results'!$P$4=4,VLOOKUP(CONCATENATE('DGNB LCA Results'!$M$3,"_",Q394), $A$2:$P$352,8,FALSE)*'DGNB LCA Results'!$N$3+
                                                                  VLOOKUP(CONCATENATE('DGNB LCA Results'!$K$3,"_",Q394), $A$2:$P$352,8,FALSE)*'DGNB LCA Results'!$L$3+
                                                                  VLOOKUP(CONCATENATE('DGNB LCA Results'!$I$3,"_",Q394), $A$2:$P$352,8,FALSE)*'DGNB LCA Results'!$J$3+
                                                                  VLOOKUP(CONCATENATE('DGNB LCA Results'!$G$3,"_",Q394), $A$2:$P$352,8,FALSE)*'DGNB LCA Results'!$H$3,
IF('DGNB LCA Results'!$P$4=3,VLOOKUP(CONCATENATE('DGNB LCA Results'!$M$3,"_",Q394), $A$2:$P$352,8,FALSE)*'DGNB LCA Results'!$N$3+
                                                                VLOOKUP(CONCATENATE('DGNB LCA Results'!$K$3,"_",Q394), $A$2:$P$352,8,FALSE)*'DGNB LCA Results'!$L$3+
                                                                VLOOKUP(CONCATENATE('DGNB LCA Results'!$I$3,"_",Q394),$A$2:$P$352,8,FALSE)*'DGNB LCA Results'!$J$3,
IF('DGNB LCA Results'!$P$4=2,VLOOKUP(CONCATENATE('DGNB LCA Results'!$M$3,"_",Q394), $A$2:$P$352,8,FALSE)*'DGNB LCA Results'!$N$3+
                                                                 VLOOKUP(CONCATENATE('DGNB LCA Results'!$K$3,"_",Q394),$A$2:$P$352,8,FALSE)*'DGNB LCA Results'!$L$3,
IF('DGNB LCA Results'!$P$4=1,VLOOKUP(CONCATENATE('DGNB LCA Results'!$M$3,"_",Q394), $A$2:$P$352,8,FALSE)*'DGNB LCA Results'!$N$3,0))))</f>
        <v>0</v>
      </c>
      <c r="I394" s="47">
        <f>IF('DGNB LCA Results'!$P$4=4,VLOOKUP(CONCATENATE('DGNB LCA Results'!$M$3,"_",Q394), $A$2:$P$352,9,FALSE)*'DGNB LCA Results'!$N$3+
                                                                  VLOOKUP(CONCATENATE('DGNB LCA Results'!$K$3,"_",Q394), $A$2:$P$352,9,FALSE)*'DGNB LCA Results'!$L$3+
                                                                  VLOOKUP(CONCATENATE('DGNB LCA Results'!$I$3,"_",Q394), $A$2:$P$352,9,FALSE)*'DGNB LCA Results'!$J$3+
                                                                  VLOOKUP(CONCATENATE('DGNB LCA Results'!$G$3,"_",Q394), $A$2:$P$352,9,FALSE)*'DGNB LCA Results'!$H$3,
IF('DGNB LCA Results'!$P$4=3,VLOOKUP(CONCATENATE('DGNB LCA Results'!$M$3,"_",Q394), $A$2:$P$352,9,FALSE)*'DGNB LCA Results'!$N$3+
                                                                VLOOKUP(CONCATENATE('DGNB LCA Results'!$K$3,"_",Q394), $A$2:$P$352,9,FALSE)*'DGNB LCA Results'!$L$3+
                                                                VLOOKUP(CONCATENATE('DGNB LCA Results'!$I$3,"_",Q394),$A$2:$P$352,9,FALSE)*'DGNB LCA Results'!$J$3,
IF('DGNB LCA Results'!$P$4=2,VLOOKUP(CONCATENATE('DGNB LCA Results'!$M$3,"_",Q394), $A$2:$P$352,9,FALSE)*'DGNB LCA Results'!$N$3+
                                                                 VLOOKUP(CONCATENATE('DGNB LCA Results'!$K$3,"_",Q394),$A$2:$P$352,9,FALSE)*'DGNB LCA Results'!$L$3,
IF('DGNB LCA Results'!$P$4=1,VLOOKUP(CONCATENATE('DGNB LCA Results'!$M$3,"_",Q394), $A$2:$P$352,9,FALSE)*'DGNB LCA Results'!$N$3,0))))</f>
        <v>0</v>
      </c>
      <c r="J394" s="121">
        <f>IF('DGNB LCA Results'!$P$4=4,VLOOKUP(CONCATENATE('DGNB LCA Results'!$M$3,"_",Q394), $A$2:$P$352,10,FALSE)*'DGNB LCA Results'!$N$3+
                                                                  VLOOKUP(CONCATENATE('DGNB LCA Results'!$K$3,"_",Q394), $A$2:$P$352,10,FALSE)*'DGNB LCA Results'!$L$3+
                                                                  VLOOKUP(CONCATENATE('DGNB LCA Results'!$I$3,"_",Q394), $A$2:$P$352,10,FALSE)*'DGNB LCA Results'!$J$3+
                                                                  VLOOKUP(CONCATENATE('DGNB LCA Results'!$G$3,"_",Q394), $A$2:$P$352,10,FALSE)*'DGNB LCA Results'!$H$3,
IF('DGNB LCA Results'!$P$4=3,VLOOKUP(CONCATENATE('DGNB LCA Results'!$M$3,"_",Q394), $A$2:$P$352,10,FALSE)*'DGNB LCA Results'!$N$3+
                                                                VLOOKUP(CONCATENATE('DGNB LCA Results'!$K$3,"_",Q394), $A$2:$P$352,10,FALSE)*'DGNB LCA Results'!$L$3+
                                                                VLOOKUP(CONCATENATE('DGNB LCA Results'!$I$3,"_",Q394),$A$2:$P$352,10,FALSE)*'DGNB LCA Results'!$J$3,
IF('DGNB LCA Results'!$P$4=2,VLOOKUP(CONCATENATE('DGNB LCA Results'!$M$3,"_",Q394), $A$2:$P$352,10,FALSE)*'DGNB LCA Results'!$N$3+
                                                                 VLOOKUP(CONCATENATE('DGNB LCA Results'!$K$3,"_",Q394),$A$2:$P$352,10,FALSE)*'DGNB LCA Results'!$L$3,
IF('DGNB LCA Results'!$P$4=1,VLOOKUP(CONCATENATE('DGNB LCA Results'!$M$3,"_",Q394), $A$2:$P$352,10,FALSE)*'DGNB LCA Results'!$N$3,0))))</f>
        <v>0</v>
      </c>
      <c r="K394" s="120">
        <f>IF('DGNB LCA Results'!$P$4=4,VLOOKUP(CONCATENATE('DGNB LCA Results'!$M$3,"_",Q394), $A$2:$P$352,11,FALSE)*'DGNB LCA Results'!$N$3+
                                                                  VLOOKUP(CONCATENATE('DGNB LCA Results'!$K$3,"_",Q394), $A$2:$P$352,11,FALSE)*'DGNB LCA Results'!$L$3+
                                                                  VLOOKUP(CONCATENATE('DGNB LCA Results'!$I$3,"_",Q394), $A$2:$P$352,11,FALSE)*'DGNB LCA Results'!$J$3+
                                                                  VLOOKUP(CONCATENATE('DGNB LCA Results'!$G$3,"_",Q394), $A$2:$P$352,11,FALSE)*'DGNB LCA Results'!$H$3,
IF('DGNB LCA Results'!$P$4=3,VLOOKUP(CONCATENATE('DGNB LCA Results'!$M$3,"_",Q394), $A$2:$P$352,11,FALSE)*'DGNB LCA Results'!$N$3+
                                                                VLOOKUP(CONCATENATE('DGNB LCA Results'!$K$3,"_",Q394), $A$2:$P$352,11,FALSE)*'DGNB LCA Results'!$L$3+
                                                                VLOOKUP(CONCATENATE('DGNB LCA Results'!$I$3,"_",Q394),$A$2:$P$352,11,FALSE)*'DGNB LCA Results'!$J$3,
IF('DGNB LCA Results'!$P$4=2,VLOOKUP(CONCATENATE('DGNB LCA Results'!$M$3,"_",Q394), $A$2:$P$352,11,FALSE)*'DGNB LCA Results'!$N$3+
                                                                 VLOOKUP(CONCATENATE('DGNB LCA Results'!$K$3,"_",Q394),$A$2:$P$352,11,FALSE)*'DGNB LCA Results'!$L$3,
IF('DGNB LCA Results'!$P$4=1,VLOOKUP(CONCATENATE('DGNB LCA Results'!$M$3,"_",Q394), $A$2:$P$352,11,FALSE)*'DGNB LCA Results'!$N$3,0))))</f>
        <v>0</v>
      </c>
      <c r="L394" s="47">
        <f>IF('DGNB LCA Results'!$P$4=4,VLOOKUP(CONCATENATE('DGNB LCA Results'!$M$3,"_",Q394), $A$2:$P$352,12,FALSE)*'DGNB LCA Results'!$N$3+
                                                                  VLOOKUP(CONCATENATE('DGNB LCA Results'!$K$3,"_",Q394), $A$2:$P$352,12,FALSE)*'DGNB LCA Results'!$L$3+
                                                                  VLOOKUP(CONCATENATE('DGNB LCA Results'!$I$3,"_",Q394), $A$2:$P$352,12,FALSE)*'DGNB LCA Results'!$J$3+
                                                                  VLOOKUP(CONCATENATE('DGNB LCA Results'!$G$3,"_",Q394), $A$2:$P$352,12,FALSE)*'DGNB LCA Results'!$H$3,
IF('DGNB LCA Results'!$P$4=3,VLOOKUP(CONCATENATE('DGNB LCA Results'!$M$3,"_",Q394), $A$2:$P$352,12,FALSE)*'DGNB LCA Results'!$N$3+
                                                                VLOOKUP(CONCATENATE('DGNB LCA Results'!$K$3,"_",Q394), $A$2:$P$352,12,FALSE)*'DGNB LCA Results'!$L$3+
                                                                VLOOKUP(CONCATENATE('DGNB LCA Results'!$I$3,"_",Q394),$A$2:$P$352,12,FALSE)*'DGNB LCA Results'!$J$3,
IF('DGNB LCA Results'!$P$4=2,VLOOKUP(CONCATENATE('DGNB LCA Results'!$M$3,"_",Q394), $A$2:$P$352,12,FALSE)*'DGNB LCA Results'!$N$3+
                                                                 VLOOKUP(CONCATENATE('DGNB LCA Results'!$K$3,"_",Q394),$A$2:$P$352,12,FALSE)*'DGNB LCA Results'!$L$3,
IF('DGNB LCA Results'!$P$4=1,VLOOKUP(CONCATENATE('DGNB LCA Results'!$M$3,"_",Q394), $A$2:$P$352,12,FALSE)*'DGNB LCA Results'!$N$3,0))))</f>
        <v>0</v>
      </c>
      <c r="M394" s="121">
        <f>IF('DGNB LCA Results'!$P$4=4,VLOOKUP(CONCATENATE('DGNB LCA Results'!$M$3,"_",Q394), $A$2:$P$352,13,FALSE)*'DGNB LCA Results'!$N$3+
                                                                  VLOOKUP(CONCATENATE('DGNB LCA Results'!$K$3,"_",Q394), $A$2:$P$352,13,FALSE)*'DGNB LCA Results'!$L$3+
                                                                  VLOOKUP(CONCATENATE('DGNB LCA Results'!$I$3,"_",Q394), $A$2:$P$352,13,FALSE)*'DGNB LCA Results'!$J$3+
                                                                  VLOOKUP(CONCATENATE('DGNB LCA Results'!$G$3,"_",Q394), $A$2:$P$352,13,FALSE)*'DGNB LCA Results'!$H$3,
IF('DGNB LCA Results'!$P$4=3,VLOOKUP(CONCATENATE('DGNB LCA Results'!$M$3,"_",Q394), $A$2:$P$352,13,FALSE)*'DGNB LCA Results'!$N$3+
                                                                VLOOKUP(CONCATENATE('DGNB LCA Results'!$K$3,"_",Q394), $A$2:$P$352,13,FALSE)*'DGNB LCA Results'!$L$3+
                                                                VLOOKUP(CONCATENATE('DGNB LCA Results'!$I$3,"_",Q394),$A$2:$P$352,13,FALSE)*'DGNB LCA Results'!$J$3,
IF('DGNB LCA Results'!$P$4=2,VLOOKUP(CONCATENATE('DGNB LCA Results'!$M$3,"_",Q394), $A$2:$P$352,13,FALSE)*'DGNB LCA Results'!$N$3+
                                                                 VLOOKUP(CONCATENATE('DGNB LCA Results'!$K$3,"_",Q394),$A$2:$P$352,13,FALSE)*'DGNB LCA Results'!$L$3,
IF('DGNB LCA Results'!$P$4=1,VLOOKUP(CONCATENATE('DGNB LCA Results'!$M$3,"_",Q394), $A$2:$P$352,13,FALSE)*'DGNB LCA Results'!$N$3,0))))</f>
        <v>0</v>
      </c>
      <c r="N394" s="120">
        <f>IF('DGNB LCA Results'!$P$4=4,VLOOKUP(CONCATENATE('DGNB LCA Results'!$M$3,"_",Q394), $A$2:$P$352,14,FALSE)*'DGNB LCA Results'!$N$3+
                                                                  VLOOKUP(CONCATENATE('DGNB LCA Results'!$K$3,"_",Q394), $A$2:$P$352,14,FALSE)*'DGNB LCA Results'!$L$3+
                                                                  VLOOKUP(CONCATENATE('DGNB LCA Results'!$I$3,"_",Q394), $A$2:$P$352,14,FALSE)*'DGNB LCA Results'!$J$3+
                                                                  VLOOKUP(CONCATENATE('DGNB LCA Results'!$G$3,"_",Q394), $A$2:$P$352,14,FALSE)*'DGNB LCA Results'!$H$3,
IF('DGNB LCA Results'!$P$4=3,VLOOKUP(CONCATENATE('DGNB LCA Results'!$M$3,"_",Q394), $A$2:$P$352,14,FALSE)*'DGNB LCA Results'!$N$3+
                                                                VLOOKUP(CONCATENATE('DGNB LCA Results'!$K$3,"_",Q394), $A$2:$P$352,14,FALSE)*'DGNB LCA Results'!$L$3+
                                                                VLOOKUP(CONCATENATE('DGNB LCA Results'!$I$3,"_",Q394),$A$2:$P$352,14,FALSE)*'DGNB LCA Results'!$J$3,
IF('DGNB LCA Results'!$P$4=2,VLOOKUP(CONCATENATE('DGNB LCA Results'!$M$3,"_",Q394), $A$2:$P$352,14,FALSE)*'DGNB LCA Results'!$N$3+
                                                                 VLOOKUP(CONCATENATE('DGNB LCA Results'!$K$3,"_",Q394),$A$2:$P$352,14,FALSE)*'DGNB LCA Results'!$L$3,
IF('DGNB LCA Results'!$P$4=1,VLOOKUP(CONCATENATE('DGNB LCA Results'!$M$3,"_",Q394), $A$2:$P$352,14,FALSE)*'DGNB LCA Results'!$N$3,0))))</f>
        <v>0</v>
      </c>
      <c r="O394" s="47">
        <f>IF('DGNB LCA Results'!$P$4=4,VLOOKUP(CONCATENATE('DGNB LCA Results'!$M$3,"_",Q394), $A$2:$P$352,15,FALSE)*'DGNB LCA Results'!$N$3+
                                                                  VLOOKUP(CONCATENATE('DGNB LCA Results'!$K$3,"_",Q394), $A$2:$P$352,15,FALSE)*'DGNB LCA Results'!$L$3+
                                                                  VLOOKUP(CONCATENATE('DGNB LCA Results'!$I$3,"_",Q394), $A$2:$P$352,15,FALSE)*'DGNB LCA Results'!$J$3+
                                                                  VLOOKUP(CONCATENATE('DGNB LCA Results'!$G$3,"_",Q394), $A$2:$P$352,15,FALSE)*'DGNB LCA Results'!$H$3,
IF('DGNB LCA Results'!$P$4=3,VLOOKUP(CONCATENATE('DGNB LCA Results'!$M$3,"_",Q394), $A$2:$P$352,15,FALSE)*'DGNB LCA Results'!$N$3+
                                                                VLOOKUP(CONCATENATE('DGNB LCA Results'!$K$3,"_",Q394), $A$2:$P$352,15,FALSE)*'DGNB LCA Results'!$L$3+
                                                                VLOOKUP(CONCATENATE('DGNB LCA Results'!$I$3,"_",Q394),$A$2:$P$352,15,FALSE)*'DGNB LCA Results'!$J$3,
IF('DGNB LCA Results'!$P$4=2,VLOOKUP(CONCATENATE('DGNB LCA Results'!$M$3,"_",Q394), $A$2:$P$352,15,FALSE)*'DGNB LCA Results'!$N$3+
                                                                 VLOOKUP(CONCATENATE('DGNB LCA Results'!$K$3,"_",Q394),$A$2:$P$352,15,FALSE)*'DGNB LCA Results'!$L$3,
IF('DGNB LCA Results'!$P$4=1,VLOOKUP(CONCATENATE('DGNB LCA Results'!$M$3,"_",Q394), $A$2:$P$352,15,FALSE)*'DGNB LCA Results'!$N$3,0))))</f>
        <v>0</v>
      </c>
      <c r="P394" s="121">
        <f>IF('DGNB LCA Results'!$P$4=4,VLOOKUP(CONCATENATE('DGNB LCA Results'!$M$3,"_",Q394), $A$2:$P$352,16,FALSE)*'DGNB LCA Results'!$N$3+
                                                                  VLOOKUP(CONCATENATE('DGNB LCA Results'!$K$3,"_",Q394), $A$2:$P$352,16,FALSE)*'DGNB LCA Results'!$L$3+
                                                                  VLOOKUP(CONCATENATE('DGNB LCA Results'!$I$3,"_",Q394), $A$2:$P$352,16,FALSE)*'DGNB LCA Results'!$J$3+
                                                                  VLOOKUP(CONCATENATE('DGNB LCA Results'!$G$3,"_",Q394), $A$2:$P$352,16,FALSE)*'DGNB LCA Results'!$H$3,
IF('DGNB LCA Results'!$P$4=3,VLOOKUP(CONCATENATE('DGNB LCA Results'!$M$3,"_",Q394), $A$2:$P$352,16,FALSE)*'DGNB LCA Results'!$N$3+
                                                                VLOOKUP(CONCATENATE('DGNB LCA Results'!$K$3,"_",Q394), $A$2:$P$352,16,FALSE)*'DGNB LCA Results'!$L$3+
                                                                VLOOKUP(CONCATENATE('DGNB LCA Results'!$I$3,"_",Q394),$A$2:$P$352,16,FALSE)*'DGNB LCA Results'!$J$3,
IF('DGNB LCA Results'!$P$4=2,VLOOKUP(CONCATENATE('DGNB LCA Results'!$M$3,"_",Q394), $A$2:$P$352,16,FALSE)*'DGNB LCA Results'!$N$3+
                                                                 VLOOKUP(CONCATENATE('DGNB LCA Results'!$K$3,"_",Q394),$A$2:$P$352,16,FALSE)*'DGNB LCA Results'!$L$3,
IF('DGNB LCA Results'!$P$4=1,VLOOKUP(CONCATENATE('DGNB LCA Results'!$M$3,"_",Q394), $A$2:$P$352,16,FALSE)*'DGNB LCA Results'!$N$3,0))))</f>
        <v>0</v>
      </c>
      <c r="Q394">
        <v>100</v>
      </c>
      <c r="R394" t="s">
        <v>192</v>
      </c>
    </row>
    <row r="395" spans="1:18" x14ac:dyDescent="0.2">
      <c r="A395" t="str">
        <f t="shared" si="7"/>
        <v/>
      </c>
    </row>
    <row r="396" spans="1:18" x14ac:dyDescent="0.2">
      <c r="A396" t="str">
        <f t="shared" si="7"/>
        <v>MIX18_NVS_0</v>
      </c>
      <c r="B396" s="120">
        <f>IF('DGNB LCA Results'!$P$4=4,VLOOKUP(CONCATENATE('DGNB LCA Results'!$M$3,"_",Q396), $A$2:$P$362,2,FALSE)*'DGNB LCA Results'!$N$3+
                                                                  VLOOKUP(CONCATENATE('DGNB LCA Results'!$K$3,"_",Q396), $A$2:$P$362,2,FALSE)*'DGNB LCA Results'!$L$3+
                                                                  VLOOKUP(CONCATENATE('DGNB LCA Results'!$I$3,"_",Q396), $A$2:$P$362,2,FALSE)*'DGNB LCA Results'!$J$3+
                                                                  VLOOKUP(CONCATENATE('DGNB LCA Results'!$G$3,"_",Q396), $A$2:$P$362,2,FALSE)*'DGNB LCA Results'!$H$3,
IF('DGNB LCA Results'!$P$4=3,VLOOKUP(CONCATENATE('DGNB LCA Results'!$M$3,"_",Q396), $A$2:$P$362,2,FALSE)*'DGNB LCA Results'!$N$3+
                                                                VLOOKUP(CONCATENATE('DGNB LCA Results'!$K$3,"_",Q396), $A$2:$P$362,2,FALSE)*'DGNB LCA Results'!$L$3+
                                                                VLOOKUP(CONCATENATE('DGNB LCA Results'!$I$3,"_",Q396),$A$2:$P$362,2,FALSE)*'DGNB LCA Results'!$J$3,
IF('DGNB LCA Results'!$P$4=2,VLOOKUP(CONCATENATE('DGNB LCA Results'!$M$3,"_",Q396), $A$2:$P$362,2,FALSE)*'DGNB LCA Results'!$N$3+
                                                                 VLOOKUP(CONCATENATE('DGNB LCA Results'!$K$3,"_",Q396),$A$2:$P$362,2,FALSE)*'DGNB LCA Results'!$L$3,
IF('DGNB LCA Results'!$P$4=1,VLOOKUP(CONCATENATE('DGNB LCA Results'!$M$3,"_",Q396), $A$2:$P$362,2,FALSE)*'DGNB LCA Results'!$N$3,0))))</f>
        <v>0</v>
      </c>
      <c r="C396" s="49">
        <f>IF('DGNB LCA Results'!$P$4=4,VLOOKUP(CONCATENATE('DGNB LCA Results'!$M$3,"_",Q396), $A$2:$P$362,3,FALSE)*'DGNB LCA Results'!$N$3+
                                                                  VLOOKUP(CONCATENATE('DGNB LCA Results'!$K$3,"_",Q396), $A$2:$P$362,3,FALSE)*'DGNB LCA Results'!$L$3+
                                                                  VLOOKUP(CONCATENATE('DGNB LCA Results'!$I$3,"_",Q396), $A$2:$P$362,3,FALSE)*'DGNB LCA Results'!$J$3+
                                                                  VLOOKUP(CONCATENATE('DGNB LCA Results'!$G$3,"_",Q396), $A$2:$P$362,3,FALSE)*'DGNB LCA Results'!$H$3,
IF('DGNB LCA Results'!$P$4=3,VLOOKUP(CONCATENATE('DGNB LCA Results'!$M$3,"_",Q396), $A$2:$P$362,3,FALSE)*'DGNB LCA Results'!$N$3+
                                                                VLOOKUP(CONCATENATE('DGNB LCA Results'!$K$3,"_",Q396), $A$2:$P$362,3,FALSE)*'DGNB LCA Results'!$L$3+
                                                                VLOOKUP(CONCATENATE('DGNB LCA Results'!$I$3,"_",Q396),$A$2:$P$362,3,FALSE)*'DGNB LCA Results'!$J$3,
IF('DGNB LCA Results'!$P$4=2,VLOOKUP(CONCATENATE('DGNB LCA Results'!$M$3,"_",Q396), $A$2:$P$362,3,FALSE)*'DGNB LCA Results'!$N$3+
                                                                 VLOOKUP(CONCATENATE('DGNB LCA Results'!$K$3,"_",Q396),$A$2:$P$362,3,FALSE)*'DGNB LCA Results'!$L$3,
IF('DGNB LCA Results'!$P$4=1,VLOOKUP(CONCATENATE('DGNB LCA Results'!$M$3,"_",Q396), $A$2:$P$362,3,FALSE)*'DGNB LCA Results'!$N$3,0))))</f>
        <v>0</v>
      </c>
      <c r="D396" s="49">
        <f>IF('DGNB LCA Results'!$P$4=4,VLOOKUP(CONCATENATE('DGNB LCA Results'!$M$3,"_",Q396), $A$2:$P$362,4,FALSE)*'DGNB LCA Results'!$N$3+
                                                                  VLOOKUP(CONCATENATE('DGNB LCA Results'!$K$3,"_",Q396), $A$2:$P$362,4,FALSE)*'DGNB LCA Results'!$L$3+
                                                                  VLOOKUP(CONCATENATE('DGNB LCA Results'!$I$3,"_",Q396), $A$2:$P$362,4,FALSE)*'DGNB LCA Results'!$J$3+
                                                                  VLOOKUP(CONCATENATE('DGNB LCA Results'!$G$3,"_",Q396), $A$2:$P$362,4,FALSE)*'DGNB LCA Results'!$H$3,
IF('DGNB LCA Results'!$P$4=3,VLOOKUP(CONCATENATE('DGNB LCA Results'!$M$3,"_",Q396), $A$2:$P$362,4,FALSE)*'DGNB LCA Results'!$N$3+
                                                                VLOOKUP(CONCATENATE('DGNB LCA Results'!$K$3,"_",Q396), $A$2:$P$362,4,FALSE)*'DGNB LCA Results'!$L$3+
                                                                VLOOKUP(CONCATENATE('DGNB LCA Results'!$I$3,"_",Q396),$A$2:$P$362,4,FALSE)*'DGNB LCA Results'!$J$3,
IF('DGNB LCA Results'!$P$4=2,VLOOKUP(CONCATENATE('DGNB LCA Results'!$M$3,"_",Q396), $A$2:$P$362,4,FALSE)*'DGNB LCA Results'!$N$3+
                                                                 VLOOKUP(CONCATENATE('DGNB LCA Results'!$K$3,"_",Q396),$A$2:$P$362,4,FALSE)*'DGNB LCA Results'!$L$3,
IF('DGNB LCA Results'!$P$4=1,VLOOKUP(CONCATENATE('DGNB LCA Results'!$M$3,"_",Q396), $A$2:$P$362,4,FALSE)*'DGNB LCA Results'!$N$3,0))))</f>
        <v>0</v>
      </c>
      <c r="E396" s="120">
        <f>IF('DGNB LCA Results'!$P$4=4,VLOOKUP(CONCATENATE('DGNB LCA Results'!$M$3,"_",Q396), $A$2:$P$362,5,FALSE)*'DGNB LCA Results'!$N$3+
                                                                  VLOOKUP(CONCATENATE('DGNB LCA Results'!$K$3,"_",Q396), $A$2:$P$362,5,FALSE)*'DGNB LCA Results'!$L$3+
                                                                  VLOOKUP(CONCATENATE('DGNB LCA Results'!$I$3,"_",Q396), $A$2:$P$362,5,FALSE)*'DGNB LCA Results'!$J$3+
                                                                  VLOOKUP(CONCATENATE('DGNB LCA Results'!$G$3,"_",Q396), $A$2:$P$362,5,FALSE)*'DGNB LCA Results'!$H$3,
IF('DGNB LCA Results'!$P$4=3,VLOOKUP(CONCATENATE('DGNB LCA Results'!$M$3,"_",Q396), $A$2:$P$362,5,FALSE)*'DGNB LCA Results'!$N$3+
                                                                VLOOKUP(CONCATENATE('DGNB LCA Results'!$K$3,"_",Q396), $A$2:$P$362,5,FALSE)*'DGNB LCA Results'!$L$3+
                                                                VLOOKUP(CONCATENATE('DGNB LCA Results'!$I$3,"_",Q396),$A$2:$P$362,5,FALSE)*'DGNB LCA Results'!$J$3,
IF('DGNB LCA Results'!$P$4=2,VLOOKUP(CONCATENATE('DGNB LCA Results'!$M$3,"_",Q396), $A$2:$P$362,5,FALSE)*'DGNB LCA Results'!$N$3+
                                                                 VLOOKUP(CONCATENATE('DGNB LCA Results'!$K$3,"_",Q396),$A$2:$P$362,5,FALSE)*'DGNB LCA Results'!$L$3,
IF('DGNB LCA Results'!$P$4=1,VLOOKUP(CONCATENATE('DGNB LCA Results'!$M$3,"_",Q396), $A$2:$P$362,5,FALSE)*'DGNB LCA Results'!$N$3,0))))</f>
        <v>0</v>
      </c>
      <c r="F396" s="47">
        <f>IF('DGNB LCA Results'!$P$4=4,VLOOKUP(CONCATENATE('DGNB LCA Results'!$M$3,"_",Q396), $A$2:$P$362,6,FALSE)*'DGNB LCA Results'!$N$3+
                                                                  VLOOKUP(CONCATENATE('DGNB LCA Results'!$K$3,"_",Q396), $A$2:$P$362,6,FALSE)*'DGNB LCA Results'!$L$3+
                                                                  VLOOKUP(CONCATENATE('DGNB LCA Results'!$I$3,"_",Q396), $A$2:$P$362,6,FALSE)*'DGNB LCA Results'!$J$3+
                                                                  VLOOKUP(CONCATENATE('DGNB LCA Results'!$G$3,"_",Q396), $A$2:$P$362,6,FALSE)*'DGNB LCA Results'!$H$3,
IF('DGNB LCA Results'!$P$4=3,VLOOKUP(CONCATENATE('DGNB LCA Results'!$M$3,"_",Q396), $A$2:$P$362,6,FALSE)*'DGNB LCA Results'!$N$3+
                                                                VLOOKUP(CONCATENATE('DGNB LCA Results'!$K$3,"_",Q396), $A$2:$P$362,6,FALSE)*'DGNB LCA Results'!$L$3+
                                                                VLOOKUP(CONCATENATE('DGNB LCA Results'!$I$3,"_",Q396),$A$2:$P$362,6,FALSE)*'DGNB LCA Results'!$J$3,
IF('DGNB LCA Results'!$P$4=2,VLOOKUP(CONCATENATE('DGNB LCA Results'!$M$3,"_",Q396), $A$2:$P$362,6,FALSE)*'DGNB LCA Results'!$N$3+
                                                                 VLOOKUP(CONCATENATE('DGNB LCA Results'!$K$3,"_",Q396),$A$2:$P$362,6,FALSE)*'DGNB LCA Results'!$L$3,
IF('DGNB LCA Results'!$P$4=1,VLOOKUP(CONCATENATE('DGNB LCA Results'!$M$3,"_",Q396), $A$2:$P$362,6,FALSE)*'DGNB LCA Results'!$N$3,0))))</f>
        <v>0</v>
      </c>
      <c r="G396" s="121">
        <f>IF('DGNB LCA Results'!$P$4=4,VLOOKUP(CONCATENATE('DGNB LCA Results'!$M$3,"_",Q396), $A$2:$P$362,7,FALSE)*'DGNB LCA Results'!$N$3+
                                                                  VLOOKUP(CONCATENATE('DGNB LCA Results'!$K$3,"_",Q396), $A$2:$P$362,7,FALSE)*'DGNB LCA Results'!$L$3+
                                                                  VLOOKUP(CONCATENATE('DGNB LCA Results'!$I$3,"_",Q396), $A$2:$P$362,7,FALSE)*'DGNB LCA Results'!$J$3+
                                                                  VLOOKUP(CONCATENATE('DGNB LCA Results'!$G$3,"_",Q396), $A$2:$P$362,7,FALSE)*'DGNB LCA Results'!$H$3,
IF('DGNB LCA Results'!$P$4=3,VLOOKUP(CONCATENATE('DGNB LCA Results'!$M$3,"_",Q396), $A$2:$P$362,7,FALSE)*'DGNB LCA Results'!$N$3+
                                                                VLOOKUP(CONCATENATE('DGNB LCA Results'!$K$3,"_",Q396), $A$2:$P$362,7,FALSE)*'DGNB LCA Results'!$L$3+
                                                                VLOOKUP(CONCATENATE('DGNB LCA Results'!$I$3,"_",Q396),$A$2:$P$362,7,FALSE)*'DGNB LCA Results'!$J$3,
IF('DGNB LCA Results'!$P$4=2,VLOOKUP(CONCATENATE('DGNB LCA Results'!$M$3,"_",Q396), $A$2:$P$362,7,FALSE)*'DGNB LCA Results'!$N$3+
                                                                 VLOOKUP(CONCATENATE('DGNB LCA Results'!$K$3,"_",Q396),$A$2:$P$362,7,FALSE)*'DGNB LCA Results'!$L$3,
IF('DGNB LCA Results'!$P$4=1,VLOOKUP(CONCATENATE('DGNB LCA Results'!$M$3,"_",Q396), $A$2:$P$362,7,FALSE)*'DGNB LCA Results'!$N$3,0))))</f>
        <v>0</v>
      </c>
      <c r="H396" s="120">
        <f>IF('DGNB LCA Results'!$P$4=4,VLOOKUP(CONCATENATE('DGNB LCA Results'!$M$3,"_",Q396), $A$2:$P$362,8,FALSE)*'DGNB LCA Results'!$N$3+
                                                                  VLOOKUP(CONCATENATE('DGNB LCA Results'!$K$3,"_",Q396), $A$2:$P$362,8,FALSE)*'DGNB LCA Results'!$L$3+
                                                                  VLOOKUP(CONCATENATE('DGNB LCA Results'!$I$3,"_",Q396), $A$2:$P$362,8,FALSE)*'DGNB LCA Results'!$J$3+
                                                                  VLOOKUP(CONCATENATE('DGNB LCA Results'!$G$3,"_",Q396), $A$2:$P$362,8,FALSE)*'DGNB LCA Results'!$H$3,
IF('DGNB LCA Results'!$P$4=3,VLOOKUP(CONCATENATE('DGNB LCA Results'!$M$3,"_",Q396), $A$2:$P$362,8,FALSE)*'DGNB LCA Results'!$N$3+
                                                                VLOOKUP(CONCATENATE('DGNB LCA Results'!$K$3,"_",Q396), $A$2:$P$362,8,FALSE)*'DGNB LCA Results'!$L$3+
                                                                VLOOKUP(CONCATENATE('DGNB LCA Results'!$I$3,"_",Q396),$A$2:$P$362,8,FALSE)*'DGNB LCA Results'!$J$3,
IF('DGNB LCA Results'!$P$4=2,VLOOKUP(CONCATENATE('DGNB LCA Results'!$M$3,"_",Q396), $A$2:$P$362,8,FALSE)*'DGNB LCA Results'!$N$3+
                                                                 VLOOKUP(CONCATENATE('DGNB LCA Results'!$K$3,"_",Q396),$A$2:$P$362,8,FALSE)*'DGNB LCA Results'!$L$3,
IF('DGNB LCA Results'!$P$4=1,VLOOKUP(CONCATENATE('DGNB LCA Results'!$M$3,"_",Q396), $A$2:$P$362,8,FALSE)*'DGNB LCA Results'!$N$3,0))))</f>
        <v>0</v>
      </c>
      <c r="I396" s="47">
        <f>IF('DGNB LCA Results'!$P$4=4,VLOOKUP(CONCATENATE('DGNB LCA Results'!$M$3,"_",Q396), $A$2:$P$362,9,FALSE)*'DGNB LCA Results'!$N$3+
                                                                  VLOOKUP(CONCATENATE('DGNB LCA Results'!$K$3,"_",Q396), $A$2:$P$362,9,FALSE)*'DGNB LCA Results'!$L$3+
                                                                  VLOOKUP(CONCATENATE('DGNB LCA Results'!$I$3,"_",Q396), $A$2:$P$362,9,FALSE)*'DGNB LCA Results'!$J$3+
                                                                  VLOOKUP(CONCATENATE('DGNB LCA Results'!$G$3,"_",Q396), $A$2:$P$362,9,FALSE)*'DGNB LCA Results'!$H$3,
IF('DGNB LCA Results'!$P$4=3,VLOOKUP(CONCATENATE('DGNB LCA Results'!$M$3,"_",Q396), $A$2:$P$362,9,FALSE)*'DGNB LCA Results'!$N$3+
                                                                VLOOKUP(CONCATENATE('DGNB LCA Results'!$K$3,"_",Q396), $A$2:$P$362,9,FALSE)*'DGNB LCA Results'!$L$3+
                                                                VLOOKUP(CONCATENATE('DGNB LCA Results'!$I$3,"_",Q396),$A$2:$P$362,9,FALSE)*'DGNB LCA Results'!$J$3,
IF('DGNB LCA Results'!$P$4=2,VLOOKUP(CONCATENATE('DGNB LCA Results'!$M$3,"_",Q396), $A$2:$P$362,9,FALSE)*'DGNB LCA Results'!$N$3+
                                                                 VLOOKUP(CONCATENATE('DGNB LCA Results'!$K$3,"_",Q396),$A$2:$P$362,9,FALSE)*'DGNB LCA Results'!$L$3,
IF('DGNB LCA Results'!$P$4=1,VLOOKUP(CONCATENATE('DGNB LCA Results'!$M$3,"_",Q396), $A$2:$P$362,9,FALSE)*'DGNB LCA Results'!$N$3,0))))</f>
        <v>0</v>
      </c>
      <c r="J396" s="121">
        <f>IF('DGNB LCA Results'!$P$4=4,VLOOKUP(CONCATENATE('DGNB LCA Results'!$M$3,"_",Q396), $A$2:$P$362,10,FALSE)*'DGNB LCA Results'!$N$3+
                                                                  VLOOKUP(CONCATENATE('DGNB LCA Results'!$K$3,"_",Q396), $A$2:$P$362,10,FALSE)*'DGNB LCA Results'!$L$3+
                                                                  VLOOKUP(CONCATENATE('DGNB LCA Results'!$I$3,"_",Q396), $A$2:$P$362,10,FALSE)*'DGNB LCA Results'!$J$3+
                                                                  VLOOKUP(CONCATENATE('DGNB LCA Results'!$G$3,"_",Q396), $A$2:$P$362,10,FALSE)*'DGNB LCA Results'!$H$3,
IF('DGNB LCA Results'!$P$4=3,VLOOKUP(CONCATENATE('DGNB LCA Results'!$M$3,"_",Q396), $A$2:$P$362,10,FALSE)*'DGNB LCA Results'!$N$3+
                                                                VLOOKUP(CONCATENATE('DGNB LCA Results'!$K$3,"_",Q396), $A$2:$P$362,10,FALSE)*'DGNB LCA Results'!$L$3+
                                                                VLOOKUP(CONCATENATE('DGNB LCA Results'!$I$3,"_",Q396),$A$2:$P$362,10,FALSE)*'DGNB LCA Results'!$J$3,
IF('DGNB LCA Results'!$P$4=2,VLOOKUP(CONCATENATE('DGNB LCA Results'!$M$3,"_",Q396), $A$2:$P$362,10,FALSE)*'DGNB LCA Results'!$N$3+
                                                                 VLOOKUP(CONCATENATE('DGNB LCA Results'!$K$3,"_",Q396),$A$2:$P$362,10,FALSE)*'DGNB LCA Results'!$L$3,
IF('DGNB LCA Results'!$P$4=1,VLOOKUP(CONCATENATE('DGNB LCA Results'!$M$3,"_",Q396), $A$2:$P$362,10,FALSE)*'DGNB LCA Results'!$N$3,0))))</f>
        <v>0</v>
      </c>
      <c r="K396" s="120">
        <f>IF('DGNB LCA Results'!$P$4=4,VLOOKUP(CONCATENATE('DGNB LCA Results'!$M$3,"_",Q396), $A$2:$P$362,11,FALSE)*'DGNB LCA Results'!$N$3+
                                                                  VLOOKUP(CONCATENATE('DGNB LCA Results'!$K$3,"_",Q396), $A$2:$P$362,11,FALSE)*'DGNB LCA Results'!$L$3+
                                                                  VLOOKUP(CONCATENATE('DGNB LCA Results'!$I$3,"_",Q396), $A$2:$P$362,11,FALSE)*'DGNB LCA Results'!$J$3+
                                                                  VLOOKUP(CONCATENATE('DGNB LCA Results'!$G$3,"_",Q396), $A$2:$P$362,11,FALSE)*'DGNB LCA Results'!$H$3,
IF('DGNB LCA Results'!$P$4=3,VLOOKUP(CONCATENATE('DGNB LCA Results'!$M$3,"_",Q396), $A$2:$P$362,11,FALSE)*'DGNB LCA Results'!$N$3+
                                                                VLOOKUP(CONCATENATE('DGNB LCA Results'!$K$3,"_",Q396), $A$2:$P$362,11,FALSE)*'DGNB LCA Results'!$L$3+
                                                                VLOOKUP(CONCATENATE('DGNB LCA Results'!$I$3,"_",Q396),$A$2:$P$362,11,FALSE)*'DGNB LCA Results'!$J$3,
IF('DGNB LCA Results'!$P$4=2,VLOOKUP(CONCATENATE('DGNB LCA Results'!$M$3,"_",Q396), $A$2:$P$362,11,FALSE)*'DGNB LCA Results'!$N$3+
                                                                 VLOOKUP(CONCATENATE('DGNB LCA Results'!$K$3,"_",Q396),$A$2:$P$362,11,FALSE)*'DGNB LCA Results'!$L$3,
IF('DGNB LCA Results'!$P$4=1,VLOOKUP(CONCATENATE('DGNB LCA Results'!$M$3,"_",Q396), $A$2:$P$362,11,FALSE)*'DGNB LCA Results'!$N$3,0))))</f>
        <v>0</v>
      </c>
      <c r="L396" s="47">
        <f>IF('DGNB LCA Results'!$P$4=4,VLOOKUP(CONCATENATE('DGNB LCA Results'!$M$3,"_",Q396), $A$2:$P$362,12,FALSE)*'DGNB LCA Results'!$N$3+
                                                                  VLOOKUP(CONCATENATE('DGNB LCA Results'!$K$3,"_",Q396), $A$2:$P$362,12,FALSE)*'DGNB LCA Results'!$L$3+
                                                                  VLOOKUP(CONCATENATE('DGNB LCA Results'!$I$3,"_",Q396), $A$2:$P$362,12,FALSE)*'DGNB LCA Results'!$J$3+
                                                                  VLOOKUP(CONCATENATE('DGNB LCA Results'!$G$3,"_",Q396), $A$2:$P$362,12,FALSE)*'DGNB LCA Results'!$H$3,
IF('DGNB LCA Results'!$P$4=3,VLOOKUP(CONCATENATE('DGNB LCA Results'!$M$3,"_",Q396), $A$2:$P$362,12,FALSE)*'DGNB LCA Results'!$N$3+
                                                                VLOOKUP(CONCATENATE('DGNB LCA Results'!$K$3,"_",Q396), $A$2:$P$362,12,FALSE)*'DGNB LCA Results'!$L$3+
                                                                VLOOKUP(CONCATENATE('DGNB LCA Results'!$I$3,"_",Q396),$A$2:$P$362,12,FALSE)*'DGNB LCA Results'!$J$3,
IF('DGNB LCA Results'!$P$4=2,VLOOKUP(CONCATENATE('DGNB LCA Results'!$M$3,"_",Q396), $A$2:$P$362,12,FALSE)*'DGNB LCA Results'!$N$3+
                                                                 VLOOKUP(CONCATENATE('DGNB LCA Results'!$K$3,"_",Q396),$A$2:$P$362,12,FALSE)*'DGNB LCA Results'!$L$3,
IF('DGNB LCA Results'!$P$4=1,VLOOKUP(CONCATENATE('DGNB LCA Results'!$M$3,"_",Q396), $A$2:$P$362,12,FALSE)*'DGNB LCA Results'!$N$3,0))))</f>
        <v>0</v>
      </c>
      <c r="M396" s="121">
        <f>IF('DGNB LCA Results'!$P$4=4,VLOOKUP(CONCATENATE('DGNB LCA Results'!$M$3,"_",Q396), $A$2:$P$362,13,FALSE)*'DGNB LCA Results'!$N$3+
                                                                  VLOOKUP(CONCATENATE('DGNB LCA Results'!$K$3,"_",Q396), $A$2:$P$362,13,FALSE)*'DGNB LCA Results'!$L$3+
                                                                  VLOOKUP(CONCATENATE('DGNB LCA Results'!$I$3,"_",Q396), $A$2:$P$362,13,FALSE)*'DGNB LCA Results'!$J$3+
                                                                  VLOOKUP(CONCATENATE('DGNB LCA Results'!$G$3,"_",Q396), $A$2:$P$362,13,FALSE)*'DGNB LCA Results'!$H$3,
IF('DGNB LCA Results'!$P$4=3,VLOOKUP(CONCATENATE('DGNB LCA Results'!$M$3,"_",Q396), $A$2:$P$362,13,FALSE)*'DGNB LCA Results'!$N$3+
                                                                VLOOKUP(CONCATENATE('DGNB LCA Results'!$K$3,"_",Q396), $A$2:$P$362,13,FALSE)*'DGNB LCA Results'!$L$3+
                                                                VLOOKUP(CONCATENATE('DGNB LCA Results'!$I$3,"_",Q396),$A$2:$P$362,13,FALSE)*'DGNB LCA Results'!$J$3,
IF('DGNB LCA Results'!$P$4=2,VLOOKUP(CONCATENATE('DGNB LCA Results'!$M$3,"_",Q396), $A$2:$P$362,13,FALSE)*'DGNB LCA Results'!$N$3+
                                                                 VLOOKUP(CONCATENATE('DGNB LCA Results'!$K$3,"_",Q396),$A$2:$P$362,13,FALSE)*'DGNB LCA Results'!$L$3,
IF('DGNB LCA Results'!$P$4=1,VLOOKUP(CONCATENATE('DGNB LCA Results'!$M$3,"_",Q396), $A$2:$P$362,13,FALSE)*'DGNB LCA Results'!$N$3,0))))</f>
        <v>0</v>
      </c>
      <c r="N396" s="120">
        <f>IF('DGNB LCA Results'!$P$4=4,VLOOKUP(CONCATENATE('DGNB LCA Results'!$M$3,"_",Q396), $A$2:$P$362,14,FALSE)*'DGNB LCA Results'!$N$3+
                                                                  VLOOKUP(CONCATENATE('DGNB LCA Results'!$K$3,"_",Q396), $A$2:$P$362,14,FALSE)*'DGNB LCA Results'!$L$3+
                                                                  VLOOKUP(CONCATENATE('DGNB LCA Results'!$I$3,"_",Q396), $A$2:$P$362,14,FALSE)*'DGNB LCA Results'!$J$3+
                                                                  VLOOKUP(CONCATENATE('DGNB LCA Results'!$G$3,"_",Q396), $A$2:$P$362,14,FALSE)*'DGNB LCA Results'!$H$3,
IF('DGNB LCA Results'!$P$4=3,VLOOKUP(CONCATENATE('DGNB LCA Results'!$M$3,"_",Q396), $A$2:$P$362,14,FALSE)*'DGNB LCA Results'!$N$3+
                                                                VLOOKUP(CONCATENATE('DGNB LCA Results'!$K$3,"_",Q396), $A$2:$P$362,14,FALSE)*'DGNB LCA Results'!$L$3+
                                                                VLOOKUP(CONCATENATE('DGNB LCA Results'!$I$3,"_",Q396),$A$2:$P$362,14,FALSE)*'DGNB LCA Results'!$J$3,
IF('DGNB LCA Results'!$P$4=2,VLOOKUP(CONCATENATE('DGNB LCA Results'!$M$3,"_",Q396), $A$2:$P$362,14,FALSE)*'DGNB LCA Results'!$N$3+
                                                                 VLOOKUP(CONCATENATE('DGNB LCA Results'!$K$3,"_",Q396),$A$2:$P$362,14,FALSE)*'DGNB LCA Results'!$L$3,
IF('DGNB LCA Results'!$P$4=1,VLOOKUP(CONCATENATE('DGNB LCA Results'!$M$3,"_",Q396), $A$2:$P$362,14,FALSE)*'DGNB LCA Results'!$N$3,0))))</f>
        <v>0</v>
      </c>
      <c r="O396" s="47">
        <f>IF('DGNB LCA Results'!$P$4=4,VLOOKUP(CONCATENATE('DGNB LCA Results'!$M$3,"_",Q396), $A$2:$P$362,15,FALSE)*'DGNB LCA Results'!$N$3+
                                                                  VLOOKUP(CONCATENATE('DGNB LCA Results'!$K$3,"_",Q396), $A$2:$P$362,15,FALSE)*'DGNB LCA Results'!$L$3+
                                                                  VLOOKUP(CONCATENATE('DGNB LCA Results'!$I$3,"_",Q396), $A$2:$P$362,15,FALSE)*'DGNB LCA Results'!$J$3+
                                                                  VLOOKUP(CONCATENATE('DGNB LCA Results'!$G$3,"_",Q396), $A$2:$P$362,15,FALSE)*'DGNB LCA Results'!$H$3,
IF('DGNB LCA Results'!$P$4=3,VLOOKUP(CONCATENATE('DGNB LCA Results'!$M$3,"_",Q396), $A$2:$P$362,15,FALSE)*'DGNB LCA Results'!$N$3+
                                                                VLOOKUP(CONCATENATE('DGNB LCA Results'!$K$3,"_",Q396), $A$2:$P$362,15,FALSE)*'DGNB LCA Results'!$L$3+
                                                                VLOOKUP(CONCATENATE('DGNB LCA Results'!$I$3,"_",Q396),$A$2:$P$362,15,FALSE)*'DGNB LCA Results'!$J$3,
IF('DGNB LCA Results'!$P$4=2,VLOOKUP(CONCATENATE('DGNB LCA Results'!$M$3,"_",Q396), $A$2:$P$362,15,FALSE)*'DGNB LCA Results'!$N$3+
                                                                 VLOOKUP(CONCATENATE('DGNB LCA Results'!$K$3,"_",Q396),$A$2:$P$362,15,FALSE)*'DGNB LCA Results'!$L$3,
IF('DGNB LCA Results'!$P$4=1,VLOOKUP(CONCATENATE('DGNB LCA Results'!$M$3,"_",Q396), $A$2:$P$362,15,FALSE)*'DGNB LCA Results'!$N$3,0))))</f>
        <v>0</v>
      </c>
      <c r="P396" s="121">
        <f>IF('DGNB LCA Results'!$P$4=4,VLOOKUP(CONCATENATE('DGNB LCA Results'!$M$3,"_",Q396), $A$2:$P$362,16,FALSE)*'DGNB LCA Results'!$N$3+
                                                                  VLOOKUP(CONCATENATE('DGNB LCA Results'!$K$3,"_",Q396), $A$2:$P$362,16,FALSE)*'DGNB LCA Results'!$L$3+
                                                                  VLOOKUP(CONCATENATE('DGNB LCA Results'!$I$3,"_",Q396), $A$2:$P$362,16,FALSE)*'DGNB LCA Results'!$J$3+
                                                                  VLOOKUP(CONCATENATE('DGNB LCA Results'!$G$3,"_",Q396), $A$2:$P$362,16,FALSE)*'DGNB LCA Results'!$H$3,
IF('DGNB LCA Results'!$P$4=3,VLOOKUP(CONCATENATE('DGNB LCA Results'!$M$3,"_",Q396), $A$2:$P$362,16,FALSE)*'DGNB LCA Results'!$N$3+
                                                                VLOOKUP(CONCATENATE('DGNB LCA Results'!$K$3,"_",Q396), $A$2:$P$362,16,FALSE)*'DGNB LCA Results'!$L$3+
                                                                VLOOKUP(CONCATENATE('DGNB LCA Results'!$I$3,"_",Q396),$A$2:$P$362,16,FALSE)*'DGNB LCA Results'!$J$3,
IF('DGNB LCA Results'!$P$4=2,VLOOKUP(CONCATENATE('DGNB LCA Results'!$M$3,"_",Q396), $A$2:$P$362,16,FALSE)*'DGNB LCA Results'!$N$3+
                                                                 VLOOKUP(CONCATENATE('DGNB LCA Results'!$K$3,"_",Q396),$A$2:$P$362,16,FALSE)*'DGNB LCA Results'!$L$3,
IF('DGNB LCA Results'!$P$4=1,VLOOKUP(CONCATENATE('DGNB LCA Results'!$M$3,"_",Q396), $A$2:$P$362,16,FALSE)*'DGNB LCA Results'!$N$3,0))))</f>
        <v>0</v>
      </c>
      <c r="Q396">
        <v>0</v>
      </c>
      <c r="R396" t="s">
        <v>207</v>
      </c>
    </row>
    <row r="397" spans="1:18" x14ac:dyDescent="0.2">
      <c r="A397" t="str">
        <f t="shared" si="7"/>
        <v>MIX18_NVS_30</v>
      </c>
      <c r="B397" s="120">
        <f>IF('DGNB LCA Results'!$P$4=4,VLOOKUP(CONCATENATE('DGNB LCA Results'!$M$3,"_",Q397), $A$2:$P$362,2,FALSE)*'DGNB LCA Results'!$N$3+
                                                                  VLOOKUP(CONCATENATE('DGNB LCA Results'!$K$3,"_",Q397), $A$2:$P$362,2,FALSE)*'DGNB LCA Results'!$L$3+
                                                                  VLOOKUP(CONCATENATE('DGNB LCA Results'!$I$3,"_",Q397), $A$2:$P$362,2,FALSE)*'DGNB LCA Results'!$J$3+
                                                                  VLOOKUP(CONCATENATE('DGNB LCA Results'!$G$3,"_",Q397), $A$2:$P$362,2,FALSE)*'DGNB LCA Results'!$H$3,
IF('DGNB LCA Results'!$P$4=3,VLOOKUP(CONCATENATE('DGNB LCA Results'!$M$3,"_",Q397), $A$2:$P$362,2,FALSE)*'DGNB LCA Results'!$N$3+
                                                                VLOOKUP(CONCATENATE('DGNB LCA Results'!$K$3,"_",Q397), $A$2:$P$362,2,FALSE)*'DGNB LCA Results'!$L$3+
                                                                VLOOKUP(CONCATENATE('DGNB LCA Results'!$I$3,"_",Q397),$A$2:$P$362,2,FALSE)*'DGNB LCA Results'!$J$3,
IF('DGNB LCA Results'!$P$4=2,VLOOKUP(CONCATENATE('DGNB LCA Results'!$M$3,"_",Q397), $A$2:$P$362,2,FALSE)*'DGNB LCA Results'!$N$3+
                                                                 VLOOKUP(CONCATENATE('DGNB LCA Results'!$K$3,"_",Q397),$A$2:$P$362,2,FALSE)*'DGNB LCA Results'!$L$3,
IF('DGNB LCA Results'!$P$4=1,VLOOKUP(CONCATENATE('DGNB LCA Results'!$M$3,"_",Q397), $A$2:$P$362,2,FALSE)*'DGNB LCA Results'!$N$3,0))))</f>
        <v>0</v>
      </c>
      <c r="C397" s="49">
        <f>IF('DGNB LCA Results'!$P$4=4,VLOOKUP(CONCATENATE('DGNB LCA Results'!$M$3,"_",Q397), $A$2:$P$362,3,FALSE)*'DGNB LCA Results'!$N$3+
                                                                  VLOOKUP(CONCATENATE('DGNB LCA Results'!$K$3,"_",Q397), $A$2:$P$362,3,FALSE)*'DGNB LCA Results'!$L$3+
                                                                  VLOOKUP(CONCATENATE('DGNB LCA Results'!$I$3,"_",Q397), $A$2:$P$362,3,FALSE)*'DGNB LCA Results'!$J$3+
                                                                  VLOOKUP(CONCATENATE('DGNB LCA Results'!$G$3,"_",Q397), $A$2:$P$362,3,FALSE)*'DGNB LCA Results'!$H$3,
IF('DGNB LCA Results'!$P$4=3,VLOOKUP(CONCATENATE('DGNB LCA Results'!$M$3,"_",Q397), $A$2:$P$362,3,FALSE)*'DGNB LCA Results'!$N$3+
                                                                VLOOKUP(CONCATENATE('DGNB LCA Results'!$K$3,"_",Q397), $A$2:$P$362,3,FALSE)*'DGNB LCA Results'!$L$3+
                                                                VLOOKUP(CONCATENATE('DGNB LCA Results'!$I$3,"_",Q397),$A$2:$P$362,3,FALSE)*'DGNB LCA Results'!$J$3,
IF('DGNB LCA Results'!$P$4=2,VLOOKUP(CONCATENATE('DGNB LCA Results'!$M$3,"_",Q397), $A$2:$P$362,3,FALSE)*'DGNB LCA Results'!$N$3+
                                                                 VLOOKUP(CONCATENATE('DGNB LCA Results'!$K$3,"_",Q397),$A$2:$P$362,3,FALSE)*'DGNB LCA Results'!$L$3,
IF('DGNB LCA Results'!$P$4=1,VLOOKUP(CONCATENATE('DGNB LCA Results'!$M$3,"_",Q397), $A$2:$P$362,3,FALSE)*'DGNB LCA Results'!$N$3,0))))</f>
        <v>0</v>
      </c>
      <c r="D397" s="49">
        <f>IF('DGNB LCA Results'!$P$4=4,VLOOKUP(CONCATENATE('DGNB LCA Results'!$M$3,"_",Q397), $A$2:$P$362,4,FALSE)*'DGNB LCA Results'!$N$3+
                                                                  VLOOKUP(CONCATENATE('DGNB LCA Results'!$K$3,"_",Q397), $A$2:$P$362,4,FALSE)*'DGNB LCA Results'!$L$3+
                                                                  VLOOKUP(CONCATENATE('DGNB LCA Results'!$I$3,"_",Q397), $A$2:$P$362,4,FALSE)*'DGNB LCA Results'!$J$3+
                                                                  VLOOKUP(CONCATENATE('DGNB LCA Results'!$G$3,"_",Q397), $A$2:$P$362,4,FALSE)*'DGNB LCA Results'!$H$3,
IF('DGNB LCA Results'!$P$4=3,VLOOKUP(CONCATENATE('DGNB LCA Results'!$M$3,"_",Q397), $A$2:$P$362,4,FALSE)*'DGNB LCA Results'!$N$3+
                                                                VLOOKUP(CONCATENATE('DGNB LCA Results'!$K$3,"_",Q397), $A$2:$P$362,4,FALSE)*'DGNB LCA Results'!$L$3+
                                                                VLOOKUP(CONCATENATE('DGNB LCA Results'!$I$3,"_",Q397),$A$2:$P$362,4,FALSE)*'DGNB LCA Results'!$J$3,
IF('DGNB LCA Results'!$P$4=2,VLOOKUP(CONCATENATE('DGNB LCA Results'!$M$3,"_",Q397), $A$2:$P$362,4,FALSE)*'DGNB LCA Results'!$N$3+
                                                                 VLOOKUP(CONCATENATE('DGNB LCA Results'!$K$3,"_",Q397),$A$2:$P$362,4,FALSE)*'DGNB LCA Results'!$L$3,
IF('DGNB LCA Results'!$P$4=1,VLOOKUP(CONCATENATE('DGNB LCA Results'!$M$3,"_",Q397), $A$2:$P$362,4,FALSE)*'DGNB LCA Results'!$N$3,0))))</f>
        <v>0</v>
      </c>
      <c r="E397" s="120">
        <f>IF('DGNB LCA Results'!$P$4=4,VLOOKUP(CONCATENATE('DGNB LCA Results'!$M$3,"_",Q397), $A$2:$P$362,5,FALSE)*'DGNB LCA Results'!$N$3+
                                                                  VLOOKUP(CONCATENATE('DGNB LCA Results'!$K$3,"_",Q397), $A$2:$P$362,5,FALSE)*'DGNB LCA Results'!$L$3+
                                                                  VLOOKUP(CONCATENATE('DGNB LCA Results'!$I$3,"_",Q397), $A$2:$P$362,5,FALSE)*'DGNB LCA Results'!$J$3+
                                                                  VLOOKUP(CONCATENATE('DGNB LCA Results'!$G$3,"_",Q397), $A$2:$P$362,5,FALSE)*'DGNB LCA Results'!$H$3,
IF('DGNB LCA Results'!$P$4=3,VLOOKUP(CONCATENATE('DGNB LCA Results'!$M$3,"_",Q397), $A$2:$P$362,5,FALSE)*'DGNB LCA Results'!$N$3+
                                                                VLOOKUP(CONCATENATE('DGNB LCA Results'!$K$3,"_",Q397), $A$2:$P$362,5,FALSE)*'DGNB LCA Results'!$L$3+
                                                                VLOOKUP(CONCATENATE('DGNB LCA Results'!$I$3,"_",Q397),$A$2:$P$362,5,FALSE)*'DGNB LCA Results'!$J$3,
IF('DGNB LCA Results'!$P$4=2,VLOOKUP(CONCATENATE('DGNB LCA Results'!$M$3,"_",Q397), $A$2:$P$362,5,FALSE)*'DGNB LCA Results'!$N$3+
                                                                 VLOOKUP(CONCATENATE('DGNB LCA Results'!$K$3,"_",Q397),$A$2:$P$362,5,FALSE)*'DGNB LCA Results'!$L$3,
IF('DGNB LCA Results'!$P$4=1,VLOOKUP(CONCATENATE('DGNB LCA Results'!$M$3,"_",Q397), $A$2:$P$362,5,FALSE)*'DGNB LCA Results'!$N$3,0))))</f>
        <v>0</v>
      </c>
      <c r="F397" s="47">
        <f>IF('DGNB LCA Results'!$P$4=4,VLOOKUP(CONCATENATE('DGNB LCA Results'!$M$3,"_",Q397), $A$2:$P$362,6,FALSE)*'DGNB LCA Results'!$N$3+
                                                                  VLOOKUP(CONCATENATE('DGNB LCA Results'!$K$3,"_",Q397), $A$2:$P$362,6,FALSE)*'DGNB LCA Results'!$L$3+
                                                                  VLOOKUP(CONCATENATE('DGNB LCA Results'!$I$3,"_",Q397), $A$2:$P$362,6,FALSE)*'DGNB LCA Results'!$J$3+
                                                                  VLOOKUP(CONCATENATE('DGNB LCA Results'!$G$3,"_",Q397), $A$2:$P$362,6,FALSE)*'DGNB LCA Results'!$H$3,
IF('DGNB LCA Results'!$P$4=3,VLOOKUP(CONCATENATE('DGNB LCA Results'!$M$3,"_",Q397), $A$2:$P$362,6,FALSE)*'DGNB LCA Results'!$N$3+
                                                                VLOOKUP(CONCATENATE('DGNB LCA Results'!$K$3,"_",Q397), $A$2:$P$362,6,FALSE)*'DGNB LCA Results'!$L$3+
                                                                VLOOKUP(CONCATENATE('DGNB LCA Results'!$I$3,"_",Q397),$A$2:$P$362,6,FALSE)*'DGNB LCA Results'!$J$3,
IF('DGNB LCA Results'!$P$4=2,VLOOKUP(CONCATENATE('DGNB LCA Results'!$M$3,"_",Q397), $A$2:$P$362,6,FALSE)*'DGNB LCA Results'!$N$3+
                                                                 VLOOKUP(CONCATENATE('DGNB LCA Results'!$K$3,"_",Q397),$A$2:$P$362,6,FALSE)*'DGNB LCA Results'!$L$3,
IF('DGNB LCA Results'!$P$4=1,VLOOKUP(CONCATENATE('DGNB LCA Results'!$M$3,"_",Q397), $A$2:$P$362,6,FALSE)*'DGNB LCA Results'!$N$3,0))))</f>
        <v>0</v>
      </c>
      <c r="G397" s="121">
        <f>IF('DGNB LCA Results'!$P$4=4,VLOOKUP(CONCATENATE('DGNB LCA Results'!$M$3,"_",Q397), $A$2:$P$362,7,FALSE)*'DGNB LCA Results'!$N$3+
                                                                  VLOOKUP(CONCATENATE('DGNB LCA Results'!$K$3,"_",Q397), $A$2:$P$362,7,FALSE)*'DGNB LCA Results'!$L$3+
                                                                  VLOOKUP(CONCATENATE('DGNB LCA Results'!$I$3,"_",Q397), $A$2:$P$362,7,FALSE)*'DGNB LCA Results'!$J$3+
                                                                  VLOOKUP(CONCATENATE('DGNB LCA Results'!$G$3,"_",Q397), $A$2:$P$362,7,FALSE)*'DGNB LCA Results'!$H$3,
IF('DGNB LCA Results'!$P$4=3,VLOOKUP(CONCATENATE('DGNB LCA Results'!$M$3,"_",Q397), $A$2:$P$362,7,FALSE)*'DGNB LCA Results'!$N$3+
                                                                VLOOKUP(CONCATENATE('DGNB LCA Results'!$K$3,"_",Q397), $A$2:$P$362,7,FALSE)*'DGNB LCA Results'!$L$3+
                                                                VLOOKUP(CONCATENATE('DGNB LCA Results'!$I$3,"_",Q397),$A$2:$P$362,7,FALSE)*'DGNB LCA Results'!$J$3,
IF('DGNB LCA Results'!$P$4=2,VLOOKUP(CONCATENATE('DGNB LCA Results'!$M$3,"_",Q397), $A$2:$P$362,7,FALSE)*'DGNB LCA Results'!$N$3+
                                                                 VLOOKUP(CONCATENATE('DGNB LCA Results'!$K$3,"_",Q397),$A$2:$P$362,7,FALSE)*'DGNB LCA Results'!$L$3,
IF('DGNB LCA Results'!$P$4=1,VLOOKUP(CONCATENATE('DGNB LCA Results'!$M$3,"_",Q397), $A$2:$P$362,7,FALSE)*'DGNB LCA Results'!$N$3,0))))</f>
        <v>0</v>
      </c>
      <c r="H397" s="120">
        <f>IF('DGNB LCA Results'!$P$4=4,VLOOKUP(CONCATENATE('DGNB LCA Results'!$M$3,"_",Q397), $A$2:$P$362,8,FALSE)*'DGNB LCA Results'!$N$3+
                                                                  VLOOKUP(CONCATENATE('DGNB LCA Results'!$K$3,"_",Q397), $A$2:$P$362,8,FALSE)*'DGNB LCA Results'!$L$3+
                                                                  VLOOKUP(CONCATENATE('DGNB LCA Results'!$I$3,"_",Q397), $A$2:$P$362,8,FALSE)*'DGNB LCA Results'!$J$3+
                                                                  VLOOKUP(CONCATENATE('DGNB LCA Results'!$G$3,"_",Q397), $A$2:$P$362,8,FALSE)*'DGNB LCA Results'!$H$3,
IF('DGNB LCA Results'!$P$4=3,VLOOKUP(CONCATENATE('DGNB LCA Results'!$M$3,"_",Q397), $A$2:$P$362,8,FALSE)*'DGNB LCA Results'!$N$3+
                                                                VLOOKUP(CONCATENATE('DGNB LCA Results'!$K$3,"_",Q397), $A$2:$P$362,8,FALSE)*'DGNB LCA Results'!$L$3+
                                                                VLOOKUP(CONCATENATE('DGNB LCA Results'!$I$3,"_",Q397),$A$2:$P$362,8,FALSE)*'DGNB LCA Results'!$J$3,
IF('DGNB LCA Results'!$P$4=2,VLOOKUP(CONCATENATE('DGNB LCA Results'!$M$3,"_",Q397), $A$2:$P$362,8,FALSE)*'DGNB LCA Results'!$N$3+
                                                                 VLOOKUP(CONCATENATE('DGNB LCA Results'!$K$3,"_",Q397),$A$2:$P$362,8,FALSE)*'DGNB LCA Results'!$L$3,
IF('DGNB LCA Results'!$P$4=1,VLOOKUP(CONCATENATE('DGNB LCA Results'!$M$3,"_",Q397), $A$2:$P$362,8,FALSE)*'DGNB LCA Results'!$N$3,0))))</f>
        <v>0</v>
      </c>
      <c r="I397" s="47">
        <f>IF('DGNB LCA Results'!$P$4=4,VLOOKUP(CONCATENATE('DGNB LCA Results'!$M$3,"_",Q397), $A$2:$P$362,9,FALSE)*'DGNB LCA Results'!$N$3+
                                                                  VLOOKUP(CONCATENATE('DGNB LCA Results'!$K$3,"_",Q397), $A$2:$P$362,9,FALSE)*'DGNB LCA Results'!$L$3+
                                                                  VLOOKUP(CONCATENATE('DGNB LCA Results'!$I$3,"_",Q397), $A$2:$P$362,9,FALSE)*'DGNB LCA Results'!$J$3+
                                                                  VLOOKUP(CONCATENATE('DGNB LCA Results'!$G$3,"_",Q397), $A$2:$P$362,9,FALSE)*'DGNB LCA Results'!$H$3,
IF('DGNB LCA Results'!$P$4=3,VLOOKUP(CONCATENATE('DGNB LCA Results'!$M$3,"_",Q397), $A$2:$P$362,9,FALSE)*'DGNB LCA Results'!$N$3+
                                                                VLOOKUP(CONCATENATE('DGNB LCA Results'!$K$3,"_",Q397), $A$2:$P$362,9,FALSE)*'DGNB LCA Results'!$L$3+
                                                                VLOOKUP(CONCATENATE('DGNB LCA Results'!$I$3,"_",Q397),$A$2:$P$362,9,FALSE)*'DGNB LCA Results'!$J$3,
IF('DGNB LCA Results'!$P$4=2,VLOOKUP(CONCATENATE('DGNB LCA Results'!$M$3,"_",Q397), $A$2:$P$362,9,FALSE)*'DGNB LCA Results'!$N$3+
                                                                 VLOOKUP(CONCATENATE('DGNB LCA Results'!$K$3,"_",Q397),$A$2:$P$362,9,FALSE)*'DGNB LCA Results'!$L$3,
IF('DGNB LCA Results'!$P$4=1,VLOOKUP(CONCATENATE('DGNB LCA Results'!$M$3,"_",Q397), $A$2:$P$362,9,FALSE)*'DGNB LCA Results'!$N$3,0))))</f>
        <v>0</v>
      </c>
      <c r="J397" s="121">
        <f>IF('DGNB LCA Results'!$P$4=4,VLOOKUP(CONCATENATE('DGNB LCA Results'!$M$3,"_",Q397), $A$2:$P$362,10,FALSE)*'DGNB LCA Results'!$N$3+
                                                                  VLOOKUP(CONCATENATE('DGNB LCA Results'!$K$3,"_",Q397), $A$2:$P$362,10,FALSE)*'DGNB LCA Results'!$L$3+
                                                                  VLOOKUP(CONCATENATE('DGNB LCA Results'!$I$3,"_",Q397), $A$2:$P$362,10,FALSE)*'DGNB LCA Results'!$J$3+
                                                                  VLOOKUP(CONCATENATE('DGNB LCA Results'!$G$3,"_",Q397), $A$2:$P$362,10,FALSE)*'DGNB LCA Results'!$H$3,
IF('DGNB LCA Results'!$P$4=3,VLOOKUP(CONCATENATE('DGNB LCA Results'!$M$3,"_",Q397), $A$2:$P$362,10,FALSE)*'DGNB LCA Results'!$N$3+
                                                                VLOOKUP(CONCATENATE('DGNB LCA Results'!$K$3,"_",Q397), $A$2:$P$362,10,FALSE)*'DGNB LCA Results'!$L$3+
                                                                VLOOKUP(CONCATENATE('DGNB LCA Results'!$I$3,"_",Q397),$A$2:$P$362,10,FALSE)*'DGNB LCA Results'!$J$3,
IF('DGNB LCA Results'!$P$4=2,VLOOKUP(CONCATENATE('DGNB LCA Results'!$M$3,"_",Q397), $A$2:$P$362,10,FALSE)*'DGNB LCA Results'!$N$3+
                                                                 VLOOKUP(CONCATENATE('DGNB LCA Results'!$K$3,"_",Q397),$A$2:$P$362,10,FALSE)*'DGNB LCA Results'!$L$3,
IF('DGNB LCA Results'!$P$4=1,VLOOKUP(CONCATENATE('DGNB LCA Results'!$M$3,"_",Q397), $A$2:$P$362,10,FALSE)*'DGNB LCA Results'!$N$3,0))))</f>
        <v>0</v>
      </c>
      <c r="K397" s="120">
        <f>IF('DGNB LCA Results'!$P$4=4,VLOOKUP(CONCATENATE('DGNB LCA Results'!$M$3,"_",Q397), $A$2:$P$362,11,FALSE)*'DGNB LCA Results'!$N$3+
                                                                  VLOOKUP(CONCATENATE('DGNB LCA Results'!$K$3,"_",Q397), $A$2:$P$362,11,FALSE)*'DGNB LCA Results'!$L$3+
                                                                  VLOOKUP(CONCATENATE('DGNB LCA Results'!$I$3,"_",Q397), $A$2:$P$362,11,FALSE)*'DGNB LCA Results'!$J$3+
                                                                  VLOOKUP(CONCATENATE('DGNB LCA Results'!$G$3,"_",Q397), $A$2:$P$362,11,FALSE)*'DGNB LCA Results'!$H$3,
IF('DGNB LCA Results'!$P$4=3,VLOOKUP(CONCATENATE('DGNB LCA Results'!$M$3,"_",Q397), $A$2:$P$362,11,FALSE)*'DGNB LCA Results'!$N$3+
                                                                VLOOKUP(CONCATENATE('DGNB LCA Results'!$K$3,"_",Q397), $A$2:$P$362,11,FALSE)*'DGNB LCA Results'!$L$3+
                                                                VLOOKUP(CONCATENATE('DGNB LCA Results'!$I$3,"_",Q397),$A$2:$P$362,11,FALSE)*'DGNB LCA Results'!$J$3,
IF('DGNB LCA Results'!$P$4=2,VLOOKUP(CONCATENATE('DGNB LCA Results'!$M$3,"_",Q397), $A$2:$P$362,11,FALSE)*'DGNB LCA Results'!$N$3+
                                                                 VLOOKUP(CONCATENATE('DGNB LCA Results'!$K$3,"_",Q397),$A$2:$P$362,11,FALSE)*'DGNB LCA Results'!$L$3,
IF('DGNB LCA Results'!$P$4=1,VLOOKUP(CONCATENATE('DGNB LCA Results'!$M$3,"_",Q397), $A$2:$P$362,11,FALSE)*'DGNB LCA Results'!$N$3,0))))</f>
        <v>0</v>
      </c>
      <c r="L397" s="47">
        <f>IF('DGNB LCA Results'!$P$4=4,VLOOKUP(CONCATENATE('DGNB LCA Results'!$M$3,"_",Q397), $A$2:$P$362,12,FALSE)*'DGNB LCA Results'!$N$3+
                                                                  VLOOKUP(CONCATENATE('DGNB LCA Results'!$K$3,"_",Q397), $A$2:$P$362,12,FALSE)*'DGNB LCA Results'!$L$3+
                                                                  VLOOKUP(CONCATENATE('DGNB LCA Results'!$I$3,"_",Q397), $A$2:$P$362,12,FALSE)*'DGNB LCA Results'!$J$3+
                                                                  VLOOKUP(CONCATENATE('DGNB LCA Results'!$G$3,"_",Q397), $A$2:$P$362,12,FALSE)*'DGNB LCA Results'!$H$3,
IF('DGNB LCA Results'!$P$4=3,VLOOKUP(CONCATENATE('DGNB LCA Results'!$M$3,"_",Q397), $A$2:$P$362,12,FALSE)*'DGNB LCA Results'!$N$3+
                                                                VLOOKUP(CONCATENATE('DGNB LCA Results'!$K$3,"_",Q397), $A$2:$P$362,12,FALSE)*'DGNB LCA Results'!$L$3+
                                                                VLOOKUP(CONCATENATE('DGNB LCA Results'!$I$3,"_",Q397),$A$2:$P$362,12,FALSE)*'DGNB LCA Results'!$J$3,
IF('DGNB LCA Results'!$P$4=2,VLOOKUP(CONCATENATE('DGNB LCA Results'!$M$3,"_",Q397), $A$2:$P$362,12,FALSE)*'DGNB LCA Results'!$N$3+
                                                                 VLOOKUP(CONCATENATE('DGNB LCA Results'!$K$3,"_",Q397),$A$2:$P$362,12,FALSE)*'DGNB LCA Results'!$L$3,
IF('DGNB LCA Results'!$P$4=1,VLOOKUP(CONCATENATE('DGNB LCA Results'!$M$3,"_",Q397), $A$2:$P$362,12,FALSE)*'DGNB LCA Results'!$N$3,0))))</f>
        <v>0</v>
      </c>
      <c r="M397" s="121">
        <f>IF('DGNB LCA Results'!$P$4=4,VLOOKUP(CONCATENATE('DGNB LCA Results'!$M$3,"_",Q397), $A$2:$P$362,13,FALSE)*'DGNB LCA Results'!$N$3+
                                                                  VLOOKUP(CONCATENATE('DGNB LCA Results'!$K$3,"_",Q397), $A$2:$P$362,13,FALSE)*'DGNB LCA Results'!$L$3+
                                                                  VLOOKUP(CONCATENATE('DGNB LCA Results'!$I$3,"_",Q397), $A$2:$P$362,13,FALSE)*'DGNB LCA Results'!$J$3+
                                                                  VLOOKUP(CONCATENATE('DGNB LCA Results'!$G$3,"_",Q397), $A$2:$P$362,13,FALSE)*'DGNB LCA Results'!$H$3,
IF('DGNB LCA Results'!$P$4=3,VLOOKUP(CONCATENATE('DGNB LCA Results'!$M$3,"_",Q397), $A$2:$P$362,13,FALSE)*'DGNB LCA Results'!$N$3+
                                                                VLOOKUP(CONCATENATE('DGNB LCA Results'!$K$3,"_",Q397), $A$2:$P$362,13,FALSE)*'DGNB LCA Results'!$L$3+
                                                                VLOOKUP(CONCATENATE('DGNB LCA Results'!$I$3,"_",Q397),$A$2:$P$362,13,FALSE)*'DGNB LCA Results'!$J$3,
IF('DGNB LCA Results'!$P$4=2,VLOOKUP(CONCATENATE('DGNB LCA Results'!$M$3,"_",Q397), $A$2:$P$362,13,FALSE)*'DGNB LCA Results'!$N$3+
                                                                 VLOOKUP(CONCATENATE('DGNB LCA Results'!$K$3,"_",Q397),$A$2:$P$362,13,FALSE)*'DGNB LCA Results'!$L$3,
IF('DGNB LCA Results'!$P$4=1,VLOOKUP(CONCATENATE('DGNB LCA Results'!$M$3,"_",Q397), $A$2:$P$362,13,FALSE)*'DGNB LCA Results'!$N$3,0))))</f>
        <v>0</v>
      </c>
      <c r="N397" s="120">
        <f>IF('DGNB LCA Results'!$P$4=4,VLOOKUP(CONCATENATE('DGNB LCA Results'!$M$3,"_",Q397), $A$2:$P$362,14,FALSE)*'DGNB LCA Results'!$N$3+
                                                                  VLOOKUP(CONCATENATE('DGNB LCA Results'!$K$3,"_",Q397), $A$2:$P$362,14,FALSE)*'DGNB LCA Results'!$L$3+
                                                                  VLOOKUP(CONCATENATE('DGNB LCA Results'!$I$3,"_",Q397), $A$2:$P$362,14,FALSE)*'DGNB LCA Results'!$J$3+
                                                                  VLOOKUP(CONCATENATE('DGNB LCA Results'!$G$3,"_",Q397), $A$2:$P$362,14,FALSE)*'DGNB LCA Results'!$H$3,
IF('DGNB LCA Results'!$P$4=3,VLOOKUP(CONCATENATE('DGNB LCA Results'!$M$3,"_",Q397), $A$2:$P$362,14,FALSE)*'DGNB LCA Results'!$N$3+
                                                                VLOOKUP(CONCATENATE('DGNB LCA Results'!$K$3,"_",Q397), $A$2:$P$362,14,FALSE)*'DGNB LCA Results'!$L$3+
                                                                VLOOKUP(CONCATENATE('DGNB LCA Results'!$I$3,"_",Q397),$A$2:$P$362,14,FALSE)*'DGNB LCA Results'!$J$3,
IF('DGNB LCA Results'!$P$4=2,VLOOKUP(CONCATENATE('DGNB LCA Results'!$M$3,"_",Q397), $A$2:$P$362,14,FALSE)*'DGNB LCA Results'!$N$3+
                                                                 VLOOKUP(CONCATENATE('DGNB LCA Results'!$K$3,"_",Q397),$A$2:$P$362,14,FALSE)*'DGNB LCA Results'!$L$3,
IF('DGNB LCA Results'!$P$4=1,VLOOKUP(CONCATENATE('DGNB LCA Results'!$M$3,"_",Q397), $A$2:$P$362,14,FALSE)*'DGNB LCA Results'!$N$3,0))))</f>
        <v>0</v>
      </c>
      <c r="O397" s="47">
        <f>IF('DGNB LCA Results'!$P$4=4,VLOOKUP(CONCATENATE('DGNB LCA Results'!$M$3,"_",Q397), $A$2:$P$362,15,FALSE)*'DGNB LCA Results'!$N$3+
                                                                  VLOOKUP(CONCATENATE('DGNB LCA Results'!$K$3,"_",Q397), $A$2:$P$362,15,FALSE)*'DGNB LCA Results'!$L$3+
                                                                  VLOOKUP(CONCATENATE('DGNB LCA Results'!$I$3,"_",Q397), $A$2:$P$362,15,FALSE)*'DGNB LCA Results'!$J$3+
                                                                  VLOOKUP(CONCATENATE('DGNB LCA Results'!$G$3,"_",Q397), $A$2:$P$362,15,FALSE)*'DGNB LCA Results'!$H$3,
IF('DGNB LCA Results'!$P$4=3,VLOOKUP(CONCATENATE('DGNB LCA Results'!$M$3,"_",Q397), $A$2:$P$362,15,FALSE)*'DGNB LCA Results'!$N$3+
                                                                VLOOKUP(CONCATENATE('DGNB LCA Results'!$K$3,"_",Q397), $A$2:$P$362,15,FALSE)*'DGNB LCA Results'!$L$3+
                                                                VLOOKUP(CONCATENATE('DGNB LCA Results'!$I$3,"_",Q397),$A$2:$P$362,15,FALSE)*'DGNB LCA Results'!$J$3,
IF('DGNB LCA Results'!$P$4=2,VLOOKUP(CONCATENATE('DGNB LCA Results'!$M$3,"_",Q397), $A$2:$P$362,15,FALSE)*'DGNB LCA Results'!$N$3+
                                                                 VLOOKUP(CONCATENATE('DGNB LCA Results'!$K$3,"_",Q397),$A$2:$P$362,15,FALSE)*'DGNB LCA Results'!$L$3,
IF('DGNB LCA Results'!$P$4=1,VLOOKUP(CONCATENATE('DGNB LCA Results'!$M$3,"_",Q397), $A$2:$P$362,15,FALSE)*'DGNB LCA Results'!$N$3,0))))</f>
        <v>0</v>
      </c>
      <c r="P397" s="121">
        <f>IF('DGNB LCA Results'!$P$4=4,VLOOKUP(CONCATENATE('DGNB LCA Results'!$M$3,"_",Q397), $A$2:$P$362,16,FALSE)*'DGNB LCA Results'!$N$3+
                                                                  VLOOKUP(CONCATENATE('DGNB LCA Results'!$K$3,"_",Q397), $A$2:$P$362,16,FALSE)*'DGNB LCA Results'!$L$3+
                                                                  VLOOKUP(CONCATENATE('DGNB LCA Results'!$I$3,"_",Q397), $A$2:$P$362,16,FALSE)*'DGNB LCA Results'!$J$3+
                                                                  VLOOKUP(CONCATENATE('DGNB LCA Results'!$G$3,"_",Q397), $A$2:$P$362,16,FALSE)*'DGNB LCA Results'!$H$3,
IF('DGNB LCA Results'!$P$4=3,VLOOKUP(CONCATENATE('DGNB LCA Results'!$M$3,"_",Q397), $A$2:$P$362,16,FALSE)*'DGNB LCA Results'!$N$3+
                                                                VLOOKUP(CONCATENATE('DGNB LCA Results'!$K$3,"_",Q397), $A$2:$P$362,16,FALSE)*'DGNB LCA Results'!$L$3+
                                                                VLOOKUP(CONCATENATE('DGNB LCA Results'!$I$3,"_",Q397),$A$2:$P$362,16,FALSE)*'DGNB LCA Results'!$J$3,
IF('DGNB LCA Results'!$P$4=2,VLOOKUP(CONCATENATE('DGNB LCA Results'!$M$3,"_",Q397), $A$2:$P$362,16,FALSE)*'DGNB LCA Results'!$N$3+
                                                                 VLOOKUP(CONCATENATE('DGNB LCA Results'!$K$3,"_",Q397),$A$2:$P$362,16,FALSE)*'DGNB LCA Results'!$L$3,
IF('DGNB LCA Results'!$P$4=1,VLOOKUP(CONCATENATE('DGNB LCA Results'!$M$3,"_",Q397), $A$2:$P$362,16,FALSE)*'DGNB LCA Results'!$N$3,0))))</f>
        <v>0</v>
      </c>
      <c r="Q397">
        <v>30</v>
      </c>
      <c r="R397" t="s">
        <v>207</v>
      </c>
    </row>
    <row r="398" spans="1:18" x14ac:dyDescent="0.2">
      <c r="A398" t="str">
        <f t="shared" si="7"/>
        <v>MIX18_NVS_60</v>
      </c>
      <c r="B398" s="120">
        <f>IF('DGNB LCA Results'!$P$4=4,VLOOKUP(CONCATENATE('DGNB LCA Results'!$M$3,"_",Q398), $A$2:$P$362,2,FALSE)*'DGNB LCA Results'!$N$3+
                                                                  VLOOKUP(CONCATENATE('DGNB LCA Results'!$K$3,"_",Q398), $A$2:$P$362,2,FALSE)*'DGNB LCA Results'!$L$3+
                                                                  VLOOKUP(CONCATENATE('DGNB LCA Results'!$I$3,"_",Q398), $A$2:$P$362,2,FALSE)*'DGNB LCA Results'!$J$3+
                                                                  VLOOKUP(CONCATENATE('DGNB LCA Results'!$G$3,"_",Q398), $A$2:$P$362,2,FALSE)*'DGNB LCA Results'!$H$3,
IF('DGNB LCA Results'!$P$4=3,VLOOKUP(CONCATENATE('DGNB LCA Results'!$M$3,"_",Q398), $A$2:$P$362,2,FALSE)*'DGNB LCA Results'!$N$3+
                                                                VLOOKUP(CONCATENATE('DGNB LCA Results'!$K$3,"_",Q398), $A$2:$P$362,2,FALSE)*'DGNB LCA Results'!$L$3+
                                                                VLOOKUP(CONCATENATE('DGNB LCA Results'!$I$3,"_",Q398),$A$2:$P$362,2,FALSE)*'DGNB LCA Results'!$J$3,
IF('DGNB LCA Results'!$P$4=2,VLOOKUP(CONCATENATE('DGNB LCA Results'!$M$3,"_",Q398), $A$2:$P$362,2,FALSE)*'DGNB LCA Results'!$N$3+
                                                                 VLOOKUP(CONCATENATE('DGNB LCA Results'!$K$3,"_",Q398),$A$2:$P$362,2,FALSE)*'DGNB LCA Results'!$L$3,
IF('DGNB LCA Results'!$P$4=1,VLOOKUP(CONCATENATE('DGNB LCA Results'!$M$3,"_",Q398), $A$2:$P$362,2,FALSE)*'DGNB LCA Results'!$N$3,0))))</f>
        <v>0</v>
      </c>
      <c r="C398" s="49">
        <f>IF('DGNB LCA Results'!$P$4=4,VLOOKUP(CONCATENATE('DGNB LCA Results'!$M$3,"_",Q398), $A$2:$P$362,3,FALSE)*'DGNB LCA Results'!$N$3+
                                                                  VLOOKUP(CONCATENATE('DGNB LCA Results'!$K$3,"_",Q398), $A$2:$P$362,3,FALSE)*'DGNB LCA Results'!$L$3+
                                                                  VLOOKUP(CONCATENATE('DGNB LCA Results'!$I$3,"_",Q398), $A$2:$P$362,3,FALSE)*'DGNB LCA Results'!$J$3+
                                                                  VLOOKUP(CONCATENATE('DGNB LCA Results'!$G$3,"_",Q398), $A$2:$P$362,3,FALSE)*'DGNB LCA Results'!$H$3,
IF('DGNB LCA Results'!$P$4=3,VLOOKUP(CONCATENATE('DGNB LCA Results'!$M$3,"_",Q398), $A$2:$P$362,3,FALSE)*'DGNB LCA Results'!$N$3+
                                                                VLOOKUP(CONCATENATE('DGNB LCA Results'!$K$3,"_",Q398), $A$2:$P$362,3,FALSE)*'DGNB LCA Results'!$L$3+
                                                                VLOOKUP(CONCATENATE('DGNB LCA Results'!$I$3,"_",Q398),$A$2:$P$362,3,FALSE)*'DGNB LCA Results'!$J$3,
IF('DGNB LCA Results'!$P$4=2,VLOOKUP(CONCATENATE('DGNB LCA Results'!$M$3,"_",Q398), $A$2:$P$362,3,FALSE)*'DGNB LCA Results'!$N$3+
                                                                 VLOOKUP(CONCATENATE('DGNB LCA Results'!$K$3,"_",Q398),$A$2:$P$362,3,FALSE)*'DGNB LCA Results'!$L$3,
IF('DGNB LCA Results'!$P$4=1,VLOOKUP(CONCATENATE('DGNB LCA Results'!$M$3,"_",Q398), $A$2:$P$362,3,FALSE)*'DGNB LCA Results'!$N$3,0))))</f>
        <v>0</v>
      </c>
      <c r="D398" s="49">
        <f>IF('DGNB LCA Results'!$P$4=4,VLOOKUP(CONCATENATE('DGNB LCA Results'!$M$3,"_",Q398), $A$2:$P$362,4,FALSE)*'DGNB LCA Results'!$N$3+
                                                                  VLOOKUP(CONCATENATE('DGNB LCA Results'!$K$3,"_",Q398), $A$2:$P$362,4,FALSE)*'DGNB LCA Results'!$L$3+
                                                                  VLOOKUP(CONCATENATE('DGNB LCA Results'!$I$3,"_",Q398), $A$2:$P$362,4,FALSE)*'DGNB LCA Results'!$J$3+
                                                                  VLOOKUP(CONCATENATE('DGNB LCA Results'!$G$3,"_",Q398), $A$2:$P$362,4,FALSE)*'DGNB LCA Results'!$H$3,
IF('DGNB LCA Results'!$P$4=3,VLOOKUP(CONCATENATE('DGNB LCA Results'!$M$3,"_",Q398), $A$2:$P$362,4,FALSE)*'DGNB LCA Results'!$N$3+
                                                                VLOOKUP(CONCATENATE('DGNB LCA Results'!$K$3,"_",Q398), $A$2:$P$362,4,FALSE)*'DGNB LCA Results'!$L$3+
                                                                VLOOKUP(CONCATENATE('DGNB LCA Results'!$I$3,"_",Q398),$A$2:$P$362,4,FALSE)*'DGNB LCA Results'!$J$3,
IF('DGNB LCA Results'!$P$4=2,VLOOKUP(CONCATENATE('DGNB LCA Results'!$M$3,"_",Q398), $A$2:$P$362,4,FALSE)*'DGNB LCA Results'!$N$3+
                                                                 VLOOKUP(CONCATENATE('DGNB LCA Results'!$K$3,"_",Q398),$A$2:$P$362,4,FALSE)*'DGNB LCA Results'!$L$3,
IF('DGNB LCA Results'!$P$4=1,VLOOKUP(CONCATENATE('DGNB LCA Results'!$M$3,"_",Q398), $A$2:$P$362,4,FALSE)*'DGNB LCA Results'!$N$3,0))))</f>
        <v>0</v>
      </c>
      <c r="E398" s="120">
        <f>IF('DGNB LCA Results'!$P$4=4,VLOOKUP(CONCATENATE('DGNB LCA Results'!$M$3,"_",Q398), $A$2:$P$362,5,FALSE)*'DGNB LCA Results'!$N$3+
                                                                  VLOOKUP(CONCATENATE('DGNB LCA Results'!$K$3,"_",Q398), $A$2:$P$362,5,FALSE)*'DGNB LCA Results'!$L$3+
                                                                  VLOOKUP(CONCATENATE('DGNB LCA Results'!$I$3,"_",Q398), $A$2:$P$362,5,FALSE)*'DGNB LCA Results'!$J$3+
                                                                  VLOOKUP(CONCATENATE('DGNB LCA Results'!$G$3,"_",Q398), $A$2:$P$362,5,FALSE)*'DGNB LCA Results'!$H$3,
IF('DGNB LCA Results'!$P$4=3,VLOOKUP(CONCATENATE('DGNB LCA Results'!$M$3,"_",Q398), $A$2:$P$362,5,FALSE)*'DGNB LCA Results'!$N$3+
                                                                VLOOKUP(CONCATENATE('DGNB LCA Results'!$K$3,"_",Q398), $A$2:$P$362,5,FALSE)*'DGNB LCA Results'!$L$3+
                                                                VLOOKUP(CONCATENATE('DGNB LCA Results'!$I$3,"_",Q398),$A$2:$P$362,5,FALSE)*'DGNB LCA Results'!$J$3,
IF('DGNB LCA Results'!$P$4=2,VLOOKUP(CONCATENATE('DGNB LCA Results'!$M$3,"_",Q398), $A$2:$P$362,5,FALSE)*'DGNB LCA Results'!$N$3+
                                                                 VLOOKUP(CONCATENATE('DGNB LCA Results'!$K$3,"_",Q398),$A$2:$P$362,5,FALSE)*'DGNB LCA Results'!$L$3,
IF('DGNB LCA Results'!$P$4=1,VLOOKUP(CONCATENATE('DGNB LCA Results'!$M$3,"_",Q398), $A$2:$P$362,5,FALSE)*'DGNB LCA Results'!$N$3,0))))</f>
        <v>0</v>
      </c>
      <c r="F398" s="47">
        <f>IF('DGNB LCA Results'!$P$4=4,VLOOKUP(CONCATENATE('DGNB LCA Results'!$M$3,"_",Q398), $A$2:$P$362,6,FALSE)*'DGNB LCA Results'!$N$3+
                                                                  VLOOKUP(CONCATENATE('DGNB LCA Results'!$K$3,"_",Q398), $A$2:$P$362,6,FALSE)*'DGNB LCA Results'!$L$3+
                                                                  VLOOKUP(CONCATENATE('DGNB LCA Results'!$I$3,"_",Q398), $A$2:$P$362,6,FALSE)*'DGNB LCA Results'!$J$3+
                                                                  VLOOKUP(CONCATENATE('DGNB LCA Results'!$G$3,"_",Q398), $A$2:$P$362,6,FALSE)*'DGNB LCA Results'!$H$3,
IF('DGNB LCA Results'!$P$4=3,VLOOKUP(CONCATENATE('DGNB LCA Results'!$M$3,"_",Q398), $A$2:$P$362,6,FALSE)*'DGNB LCA Results'!$N$3+
                                                                VLOOKUP(CONCATENATE('DGNB LCA Results'!$K$3,"_",Q398), $A$2:$P$362,6,FALSE)*'DGNB LCA Results'!$L$3+
                                                                VLOOKUP(CONCATENATE('DGNB LCA Results'!$I$3,"_",Q398),$A$2:$P$362,6,FALSE)*'DGNB LCA Results'!$J$3,
IF('DGNB LCA Results'!$P$4=2,VLOOKUP(CONCATENATE('DGNB LCA Results'!$M$3,"_",Q398), $A$2:$P$362,6,FALSE)*'DGNB LCA Results'!$N$3+
                                                                 VLOOKUP(CONCATENATE('DGNB LCA Results'!$K$3,"_",Q398),$A$2:$P$362,6,FALSE)*'DGNB LCA Results'!$L$3,
IF('DGNB LCA Results'!$P$4=1,VLOOKUP(CONCATENATE('DGNB LCA Results'!$M$3,"_",Q398), $A$2:$P$362,6,FALSE)*'DGNB LCA Results'!$N$3,0))))</f>
        <v>0</v>
      </c>
      <c r="G398" s="121">
        <f>IF('DGNB LCA Results'!$P$4=4,VLOOKUP(CONCATENATE('DGNB LCA Results'!$M$3,"_",Q398), $A$2:$P$362,7,FALSE)*'DGNB LCA Results'!$N$3+
                                                                  VLOOKUP(CONCATENATE('DGNB LCA Results'!$K$3,"_",Q398), $A$2:$P$362,7,FALSE)*'DGNB LCA Results'!$L$3+
                                                                  VLOOKUP(CONCATENATE('DGNB LCA Results'!$I$3,"_",Q398), $A$2:$P$362,7,FALSE)*'DGNB LCA Results'!$J$3+
                                                                  VLOOKUP(CONCATENATE('DGNB LCA Results'!$G$3,"_",Q398), $A$2:$P$362,7,FALSE)*'DGNB LCA Results'!$H$3,
IF('DGNB LCA Results'!$P$4=3,VLOOKUP(CONCATENATE('DGNB LCA Results'!$M$3,"_",Q398), $A$2:$P$362,7,FALSE)*'DGNB LCA Results'!$N$3+
                                                                VLOOKUP(CONCATENATE('DGNB LCA Results'!$K$3,"_",Q398), $A$2:$P$362,7,FALSE)*'DGNB LCA Results'!$L$3+
                                                                VLOOKUP(CONCATENATE('DGNB LCA Results'!$I$3,"_",Q398),$A$2:$P$362,7,FALSE)*'DGNB LCA Results'!$J$3,
IF('DGNB LCA Results'!$P$4=2,VLOOKUP(CONCATENATE('DGNB LCA Results'!$M$3,"_",Q398), $A$2:$P$362,7,FALSE)*'DGNB LCA Results'!$N$3+
                                                                 VLOOKUP(CONCATENATE('DGNB LCA Results'!$K$3,"_",Q398),$A$2:$P$362,7,FALSE)*'DGNB LCA Results'!$L$3,
IF('DGNB LCA Results'!$P$4=1,VLOOKUP(CONCATENATE('DGNB LCA Results'!$M$3,"_",Q398), $A$2:$P$362,7,FALSE)*'DGNB LCA Results'!$N$3,0))))</f>
        <v>0</v>
      </c>
      <c r="H398" s="120">
        <f>IF('DGNB LCA Results'!$P$4=4,VLOOKUP(CONCATENATE('DGNB LCA Results'!$M$3,"_",Q398), $A$2:$P$362,8,FALSE)*'DGNB LCA Results'!$N$3+
                                                                  VLOOKUP(CONCATENATE('DGNB LCA Results'!$K$3,"_",Q398), $A$2:$P$362,8,FALSE)*'DGNB LCA Results'!$L$3+
                                                                  VLOOKUP(CONCATENATE('DGNB LCA Results'!$I$3,"_",Q398), $A$2:$P$362,8,FALSE)*'DGNB LCA Results'!$J$3+
                                                                  VLOOKUP(CONCATENATE('DGNB LCA Results'!$G$3,"_",Q398), $A$2:$P$362,8,FALSE)*'DGNB LCA Results'!$H$3,
IF('DGNB LCA Results'!$P$4=3,VLOOKUP(CONCATENATE('DGNB LCA Results'!$M$3,"_",Q398), $A$2:$P$362,8,FALSE)*'DGNB LCA Results'!$N$3+
                                                                VLOOKUP(CONCATENATE('DGNB LCA Results'!$K$3,"_",Q398), $A$2:$P$362,8,FALSE)*'DGNB LCA Results'!$L$3+
                                                                VLOOKUP(CONCATENATE('DGNB LCA Results'!$I$3,"_",Q398),$A$2:$P$362,8,FALSE)*'DGNB LCA Results'!$J$3,
IF('DGNB LCA Results'!$P$4=2,VLOOKUP(CONCATENATE('DGNB LCA Results'!$M$3,"_",Q398), $A$2:$P$362,8,FALSE)*'DGNB LCA Results'!$N$3+
                                                                 VLOOKUP(CONCATENATE('DGNB LCA Results'!$K$3,"_",Q398),$A$2:$P$362,8,FALSE)*'DGNB LCA Results'!$L$3,
IF('DGNB LCA Results'!$P$4=1,VLOOKUP(CONCATENATE('DGNB LCA Results'!$M$3,"_",Q398), $A$2:$P$362,8,FALSE)*'DGNB LCA Results'!$N$3,0))))</f>
        <v>0</v>
      </c>
      <c r="I398" s="47">
        <f>IF('DGNB LCA Results'!$P$4=4,VLOOKUP(CONCATENATE('DGNB LCA Results'!$M$3,"_",Q398), $A$2:$P$362,9,FALSE)*'DGNB LCA Results'!$N$3+
                                                                  VLOOKUP(CONCATENATE('DGNB LCA Results'!$K$3,"_",Q398), $A$2:$P$362,9,FALSE)*'DGNB LCA Results'!$L$3+
                                                                  VLOOKUP(CONCATENATE('DGNB LCA Results'!$I$3,"_",Q398), $A$2:$P$362,9,FALSE)*'DGNB LCA Results'!$J$3+
                                                                  VLOOKUP(CONCATENATE('DGNB LCA Results'!$G$3,"_",Q398), $A$2:$P$362,9,FALSE)*'DGNB LCA Results'!$H$3,
IF('DGNB LCA Results'!$P$4=3,VLOOKUP(CONCATENATE('DGNB LCA Results'!$M$3,"_",Q398), $A$2:$P$362,9,FALSE)*'DGNB LCA Results'!$N$3+
                                                                VLOOKUP(CONCATENATE('DGNB LCA Results'!$K$3,"_",Q398), $A$2:$P$362,9,FALSE)*'DGNB LCA Results'!$L$3+
                                                                VLOOKUP(CONCATENATE('DGNB LCA Results'!$I$3,"_",Q398),$A$2:$P$362,9,FALSE)*'DGNB LCA Results'!$J$3,
IF('DGNB LCA Results'!$P$4=2,VLOOKUP(CONCATENATE('DGNB LCA Results'!$M$3,"_",Q398), $A$2:$P$362,9,FALSE)*'DGNB LCA Results'!$N$3+
                                                                 VLOOKUP(CONCATENATE('DGNB LCA Results'!$K$3,"_",Q398),$A$2:$P$362,9,FALSE)*'DGNB LCA Results'!$L$3,
IF('DGNB LCA Results'!$P$4=1,VLOOKUP(CONCATENATE('DGNB LCA Results'!$M$3,"_",Q398), $A$2:$P$362,9,FALSE)*'DGNB LCA Results'!$N$3,0))))</f>
        <v>0</v>
      </c>
      <c r="J398" s="121">
        <f>IF('DGNB LCA Results'!$P$4=4,VLOOKUP(CONCATENATE('DGNB LCA Results'!$M$3,"_",Q398), $A$2:$P$362,10,FALSE)*'DGNB LCA Results'!$N$3+
                                                                  VLOOKUP(CONCATENATE('DGNB LCA Results'!$K$3,"_",Q398), $A$2:$P$362,10,FALSE)*'DGNB LCA Results'!$L$3+
                                                                  VLOOKUP(CONCATENATE('DGNB LCA Results'!$I$3,"_",Q398), $A$2:$P$362,10,FALSE)*'DGNB LCA Results'!$J$3+
                                                                  VLOOKUP(CONCATENATE('DGNB LCA Results'!$G$3,"_",Q398), $A$2:$P$362,10,FALSE)*'DGNB LCA Results'!$H$3,
IF('DGNB LCA Results'!$P$4=3,VLOOKUP(CONCATENATE('DGNB LCA Results'!$M$3,"_",Q398), $A$2:$P$362,10,FALSE)*'DGNB LCA Results'!$N$3+
                                                                VLOOKUP(CONCATENATE('DGNB LCA Results'!$K$3,"_",Q398), $A$2:$P$362,10,FALSE)*'DGNB LCA Results'!$L$3+
                                                                VLOOKUP(CONCATENATE('DGNB LCA Results'!$I$3,"_",Q398),$A$2:$P$362,10,FALSE)*'DGNB LCA Results'!$J$3,
IF('DGNB LCA Results'!$P$4=2,VLOOKUP(CONCATENATE('DGNB LCA Results'!$M$3,"_",Q398), $A$2:$P$362,10,FALSE)*'DGNB LCA Results'!$N$3+
                                                                 VLOOKUP(CONCATENATE('DGNB LCA Results'!$K$3,"_",Q398),$A$2:$P$362,10,FALSE)*'DGNB LCA Results'!$L$3,
IF('DGNB LCA Results'!$P$4=1,VLOOKUP(CONCATENATE('DGNB LCA Results'!$M$3,"_",Q398), $A$2:$P$362,10,FALSE)*'DGNB LCA Results'!$N$3,0))))</f>
        <v>0</v>
      </c>
      <c r="K398" s="120">
        <f>IF('DGNB LCA Results'!$P$4=4,VLOOKUP(CONCATENATE('DGNB LCA Results'!$M$3,"_",Q398), $A$2:$P$362,11,FALSE)*'DGNB LCA Results'!$N$3+
                                                                  VLOOKUP(CONCATENATE('DGNB LCA Results'!$K$3,"_",Q398), $A$2:$P$362,11,FALSE)*'DGNB LCA Results'!$L$3+
                                                                  VLOOKUP(CONCATENATE('DGNB LCA Results'!$I$3,"_",Q398), $A$2:$P$362,11,FALSE)*'DGNB LCA Results'!$J$3+
                                                                  VLOOKUP(CONCATENATE('DGNB LCA Results'!$G$3,"_",Q398), $A$2:$P$362,11,FALSE)*'DGNB LCA Results'!$H$3,
IF('DGNB LCA Results'!$P$4=3,VLOOKUP(CONCATENATE('DGNB LCA Results'!$M$3,"_",Q398), $A$2:$P$362,11,FALSE)*'DGNB LCA Results'!$N$3+
                                                                VLOOKUP(CONCATENATE('DGNB LCA Results'!$K$3,"_",Q398), $A$2:$P$362,11,FALSE)*'DGNB LCA Results'!$L$3+
                                                                VLOOKUP(CONCATENATE('DGNB LCA Results'!$I$3,"_",Q398),$A$2:$P$362,11,FALSE)*'DGNB LCA Results'!$J$3,
IF('DGNB LCA Results'!$P$4=2,VLOOKUP(CONCATENATE('DGNB LCA Results'!$M$3,"_",Q398), $A$2:$P$362,11,FALSE)*'DGNB LCA Results'!$N$3+
                                                                 VLOOKUP(CONCATENATE('DGNB LCA Results'!$K$3,"_",Q398),$A$2:$P$362,11,FALSE)*'DGNB LCA Results'!$L$3,
IF('DGNB LCA Results'!$P$4=1,VLOOKUP(CONCATENATE('DGNB LCA Results'!$M$3,"_",Q398), $A$2:$P$362,11,FALSE)*'DGNB LCA Results'!$N$3,0))))</f>
        <v>0</v>
      </c>
      <c r="L398" s="47">
        <f>IF('DGNB LCA Results'!$P$4=4,VLOOKUP(CONCATENATE('DGNB LCA Results'!$M$3,"_",Q398), $A$2:$P$362,12,FALSE)*'DGNB LCA Results'!$N$3+
                                                                  VLOOKUP(CONCATENATE('DGNB LCA Results'!$K$3,"_",Q398), $A$2:$P$362,12,FALSE)*'DGNB LCA Results'!$L$3+
                                                                  VLOOKUP(CONCATENATE('DGNB LCA Results'!$I$3,"_",Q398), $A$2:$P$362,12,FALSE)*'DGNB LCA Results'!$J$3+
                                                                  VLOOKUP(CONCATENATE('DGNB LCA Results'!$G$3,"_",Q398), $A$2:$P$362,12,FALSE)*'DGNB LCA Results'!$H$3,
IF('DGNB LCA Results'!$P$4=3,VLOOKUP(CONCATENATE('DGNB LCA Results'!$M$3,"_",Q398), $A$2:$P$362,12,FALSE)*'DGNB LCA Results'!$N$3+
                                                                VLOOKUP(CONCATENATE('DGNB LCA Results'!$K$3,"_",Q398), $A$2:$P$362,12,FALSE)*'DGNB LCA Results'!$L$3+
                                                                VLOOKUP(CONCATENATE('DGNB LCA Results'!$I$3,"_",Q398),$A$2:$P$362,12,FALSE)*'DGNB LCA Results'!$J$3,
IF('DGNB LCA Results'!$P$4=2,VLOOKUP(CONCATENATE('DGNB LCA Results'!$M$3,"_",Q398), $A$2:$P$362,12,FALSE)*'DGNB LCA Results'!$N$3+
                                                                 VLOOKUP(CONCATENATE('DGNB LCA Results'!$K$3,"_",Q398),$A$2:$P$362,12,FALSE)*'DGNB LCA Results'!$L$3,
IF('DGNB LCA Results'!$P$4=1,VLOOKUP(CONCATENATE('DGNB LCA Results'!$M$3,"_",Q398), $A$2:$P$362,12,FALSE)*'DGNB LCA Results'!$N$3,0))))</f>
        <v>0</v>
      </c>
      <c r="M398" s="121">
        <f>IF('DGNB LCA Results'!$P$4=4,VLOOKUP(CONCATENATE('DGNB LCA Results'!$M$3,"_",Q398), $A$2:$P$362,13,FALSE)*'DGNB LCA Results'!$N$3+
                                                                  VLOOKUP(CONCATENATE('DGNB LCA Results'!$K$3,"_",Q398), $A$2:$P$362,13,FALSE)*'DGNB LCA Results'!$L$3+
                                                                  VLOOKUP(CONCATENATE('DGNB LCA Results'!$I$3,"_",Q398), $A$2:$P$362,13,FALSE)*'DGNB LCA Results'!$J$3+
                                                                  VLOOKUP(CONCATENATE('DGNB LCA Results'!$G$3,"_",Q398), $A$2:$P$362,13,FALSE)*'DGNB LCA Results'!$H$3,
IF('DGNB LCA Results'!$P$4=3,VLOOKUP(CONCATENATE('DGNB LCA Results'!$M$3,"_",Q398), $A$2:$P$362,13,FALSE)*'DGNB LCA Results'!$N$3+
                                                                VLOOKUP(CONCATENATE('DGNB LCA Results'!$K$3,"_",Q398), $A$2:$P$362,13,FALSE)*'DGNB LCA Results'!$L$3+
                                                                VLOOKUP(CONCATENATE('DGNB LCA Results'!$I$3,"_",Q398),$A$2:$P$362,13,FALSE)*'DGNB LCA Results'!$J$3,
IF('DGNB LCA Results'!$P$4=2,VLOOKUP(CONCATENATE('DGNB LCA Results'!$M$3,"_",Q398), $A$2:$P$362,13,FALSE)*'DGNB LCA Results'!$N$3+
                                                                 VLOOKUP(CONCATENATE('DGNB LCA Results'!$K$3,"_",Q398),$A$2:$P$362,13,FALSE)*'DGNB LCA Results'!$L$3,
IF('DGNB LCA Results'!$P$4=1,VLOOKUP(CONCATENATE('DGNB LCA Results'!$M$3,"_",Q398), $A$2:$P$362,13,FALSE)*'DGNB LCA Results'!$N$3,0))))</f>
        <v>0</v>
      </c>
      <c r="N398" s="120">
        <f>IF('DGNB LCA Results'!$P$4=4,VLOOKUP(CONCATENATE('DGNB LCA Results'!$M$3,"_",Q398), $A$2:$P$362,14,FALSE)*'DGNB LCA Results'!$N$3+
                                                                  VLOOKUP(CONCATENATE('DGNB LCA Results'!$K$3,"_",Q398), $A$2:$P$362,14,FALSE)*'DGNB LCA Results'!$L$3+
                                                                  VLOOKUP(CONCATENATE('DGNB LCA Results'!$I$3,"_",Q398), $A$2:$P$362,14,FALSE)*'DGNB LCA Results'!$J$3+
                                                                  VLOOKUP(CONCATENATE('DGNB LCA Results'!$G$3,"_",Q398), $A$2:$P$362,14,FALSE)*'DGNB LCA Results'!$H$3,
IF('DGNB LCA Results'!$P$4=3,VLOOKUP(CONCATENATE('DGNB LCA Results'!$M$3,"_",Q398), $A$2:$P$362,14,FALSE)*'DGNB LCA Results'!$N$3+
                                                                VLOOKUP(CONCATENATE('DGNB LCA Results'!$K$3,"_",Q398), $A$2:$P$362,14,FALSE)*'DGNB LCA Results'!$L$3+
                                                                VLOOKUP(CONCATENATE('DGNB LCA Results'!$I$3,"_",Q398),$A$2:$P$362,14,FALSE)*'DGNB LCA Results'!$J$3,
IF('DGNB LCA Results'!$P$4=2,VLOOKUP(CONCATENATE('DGNB LCA Results'!$M$3,"_",Q398), $A$2:$P$362,14,FALSE)*'DGNB LCA Results'!$N$3+
                                                                 VLOOKUP(CONCATENATE('DGNB LCA Results'!$K$3,"_",Q398),$A$2:$P$362,14,FALSE)*'DGNB LCA Results'!$L$3,
IF('DGNB LCA Results'!$P$4=1,VLOOKUP(CONCATENATE('DGNB LCA Results'!$M$3,"_",Q398), $A$2:$P$362,14,FALSE)*'DGNB LCA Results'!$N$3,0))))</f>
        <v>0</v>
      </c>
      <c r="O398" s="47">
        <f>IF('DGNB LCA Results'!$P$4=4,VLOOKUP(CONCATENATE('DGNB LCA Results'!$M$3,"_",Q398), $A$2:$P$362,15,FALSE)*'DGNB LCA Results'!$N$3+
                                                                  VLOOKUP(CONCATENATE('DGNB LCA Results'!$K$3,"_",Q398), $A$2:$P$362,15,FALSE)*'DGNB LCA Results'!$L$3+
                                                                  VLOOKUP(CONCATENATE('DGNB LCA Results'!$I$3,"_",Q398), $A$2:$P$362,15,FALSE)*'DGNB LCA Results'!$J$3+
                                                                  VLOOKUP(CONCATENATE('DGNB LCA Results'!$G$3,"_",Q398), $A$2:$P$362,15,FALSE)*'DGNB LCA Results'!$H$3,
IF('DGNB LCA Results'!$P$4=3,VLOOKUP(CONCATENATE('DGNB LCA Results'!$M$3,"_",Q398), $A$2:$P$362,15,FALSE)*'DGNB LCA Results'!$N$3+
                                                                VLOOKUP(CONCATENATE('DGNB LCA Results'!$K$3,"_",Q398), $A$2:$P$362,15,FALSE)*'DGNB LCA Results'!$L$3+
                                                                VLOOKUP(CONCATENATE('DGNB LCA Results'!$I$3,"_",Q398),$A$2:$P$362,15,FALSE)*'DGNB LCA Results'!$J$3,
IF('DGNB LCA Results'!$P$4=2,VLOOKUP(CONCATENATE('DGNB LCA Results'!$M$3,"_",Q398), $A$2:$P$362,15,FALSE)*'DGNB LCA Results'!$N$3+
                                                                 VLOOKUP(CONCATENATE('DGNB LCA Results'!$K$3,"_",Q398),$A$2:$P$362,15,FALSE)*'DGNB LCA Results'!$L$3,
IF('DGNB LCA Results'!$P$4=1,VLOOKUP(CONCATENATE('DGNB LCA Results'!$M$3,"_",Q398), $A$2:$P$362,15,FALSE)*'DGNB LCA Results'!$N$3,0))))</f>
        <v>0</v>
      </c>
      <c r="P398" s="121">
        <f>IF('DGNB LCA Results'!$P$4=4,VLOOKUP(CONCATENATE('DGNB LCA Results'!$M$3,"_",Q398), $A$2:$P$362,16,FALSE)*'DGNB LCA Results'!$N$3+
                                                                  VLOOKUP(CONCATENATE('DGNB LCA Results'!$K$3,"_",Q398), $A$2:$P$362,16,FALSE)*'DGNB LCA Results'!$L$3+
                                                                  VLOOKUP(CONCATENATE('DGNB LCA Results'!$I$3,"_",Q398), $A$2:$P$362,16,FALSE)*'DGNB LCA Results'!$J$3+
                                                                  VLOOKUP(CONCATENATE('DGNB LCA Results'!$G$3,"_",Q398), $A$2:$P$362,16,FALSE)*'DGNB LCA Results'!$H$3,
IF('DGNB LCA Results'!$P$4=3,VLOOKUP(CONCATENATE('DGNB LCA Results'!$M$3,"_",Q398), $A$2:$P$362,16,FALSE)*'DGNB LCA Results'!$N$3+
                                                                VLOOKUP(CONCATENATE('DGNB LCA Results'!$K$3,"_",Q398), $A$2:$P$362,16,FALSE)*'DGNB LCA Results'!$L$3+
                                                                VLOOKUP(CONCATENATE('DGNB LCA Results'!$I$3,"_",Q398),$A$2:$P$362,16,FALSE)*'DGNB LCA Results'!$J$3,
IF('DGNB LCA Results'!$P$4=2,VLOOKUP(CONCATENATE('DGNB LCA Results'!$M$3,"_",Q398), $A$2:$P$362,16,FALSE)*'DGNB LCA Results'!$N$3+
                                                                 VLOOKUP(CONCATENATE('DGNB LCA Results'!$K$3,"_",Q398),$A$2:$P$362,16,FALSE)*'DGNB LCA Results'!$L$3,
IF('DGNB LCA Results'!$P$4=1,VLOOKUP(CONCATENATE('DGNB LCA Results'!$M$3,"_",Q398), $A$2:$P$362,16,FALSE)*'DGNB LCA Results'!$N$3,0))))</f>
        <v>0</v>
      </c>
      <c r="Q398">
        <v>60</v>
      </c>
      <c r="R398" t="s">
        <v>207</v>
      </c>
    </row>
    <row r="399" spans="1:18" x14ac:dyDescent="0.2">
      <c r="A399" t="str">
        <f t="shared" si="7"/>
        <v>MIX18_NVS_80</v>
      </c>
      <c r="B399" s="120">
        <f>IF('DGNB LCA Results'!$P$4=4,VLOOKUP(CONCATENATE('DGNB LCA Results'!$M$3,"_",Q399), $A$2:$P$362,2,FALSE)*'DGNB LCA Results'!$N$3+
                                                                  VLOOKUP(CONCATENATE('DGNB LCA Results'!$K$3,"_",Q399), $A$2:$P$362,2,FALSE)*'DGNB LCA Results'!$L$3+
                                                                  VLOOKUP(CONCATENATE('DGNB LCA Results'!$I$3,"_",Q399), $A$2:$P$362,2,FALSE)*'DGNB LCA Results'!$J$3+
                                                                  VLOOKUP(CONCATENATE('DGNB LCA Results'!$G$3,"_",Q399), $A$2:$P$362,2,FALSE)*'DGNB LCA Results'!$H$3,
IF('DGNB LCA Results'!$P$4=3,VLOOKUP(CONCATENATE('DGNB LCA Results'!$M$3,"_",Q399), $A$2:$P$362,2,FALSE)*'DGNB LCA Results'!$N$3+
                                                                VLOOKUP(CONCATENATE('DGNB LCA Results'!$K$3,"_",Q399), $A$2:$P$362,2,FALSE)*'DGNB LCA Results'!$L$3+
                                                                VLOOKUP(CONCATENATE('DGNB LCA Results'!$I$3,"_",Q399),$A$2:$P$362,2,FALSE)*'DGNB LCA Results'!$J$3,
IF('DGNB LCA Results'!$P$4=2,VLOOKUP(CONCATENATE('DGNB LCA Results'!$M$3,"_",Q399), $A$2:$P$362,2,FALSE)*'DGNB LCA Results'!$N$3+
                                                                 VLOOKUP(CONCATENATE('DGNB LCA Results'!$K$3,"_",Q399),$A$2:$P$362,2,FALSE)*'DGNB LCA Results'!$L$3,
IF('DGNB LCA Results'!$P$4=1,VLOOKUP(CONCATENATE('DGNB LCA Results'!$M$3,"_",Q399), $A$2:$P$362,2,FALSE)*'DGNB LCA Results'!$N$3,0))))</f>
        <v>0</v>
      </c>
      <c r="C399" s="49">
        <f>IF('DGNB LCA Results'!$P$4=4,VLOOKUP(CONCATENATE('DGNB LCA Results'!$M$3,"_",Q399), $A$2:$P$362,3,FALSE)*'DGNB LCA Results'!$N$3+
                                                                  VLOOKUP(CONCATENATE('DGNB LCA Results'!$K$3,"_",Q399), $A$2:$P$362,3,FALSE)*'DGNB LCA Results'!$L$3+
                                                                  VLOOKUP(CONCATENATE('DGNB LCA Results'!$I$3,"_",Q399), $A$2:$P$362,3,FALSE)*'DGNB LCA Results'!$J$3+
                                                                  VLOOKUP(CONCATENATE('DGNB LCA Results'!$G$3,"_",Q399), $A$2:$P$362,3,FALSE)*'DGNB LCA Results'!$H$3,
IF('DGNB LCA Results'!$P$4=3,VLOOKUP(CONCATENATE('DGNB LCA Results'!$M$3,"_",Q399), $A$2:$P$362,3,FALSE)*'DGNB LCA Results'!$N$3+
                                                                VLOOKUP(CONCATENATE('DGNB LCA Results'!$K$3,"_",Q399), $A$2:$P$362,3,FALSE)*'DGNB LCA Results'!$L$3+
                                                                VLOOKUP(CONCATENATE('DGNB LCA Results'!$I$3,"_",Q399),$A$2:$P$362,3,FALSE)*'DGNB LCA Results'!$J$3,
IF('DGNB LCA Results'!$P$4=2,VLOOKUP(CONCATENATE('DGNB LCA Results'!$M$3,"_",Q399), $A$2:$P$362,3,FALSE)*'DGNB LCA Results'!$N$3+
                                                                 VLOOKUP(CONCATENATE('DGNB LCA Results'!$K$3,"_",Q399),$A$2:$P$362,3,FALSE)*'DGNB LCA Results'!$L$3,
IF('DGNB LCA Results'!$P$4=1,VLOOKUP(CONCATENATE('DGNB LCA Results'!$M$3,"_",Q399), $A$2:$P$362,3,FALSE)*'DGNB LCA Results'!$N$3,0))))</f>
        <v>0</v>
      </c>
      <c r="D399" s="49">
        <f>IF('DGNB LCA Results'!$P$4=4,VLOOKUP(CONCATENATE('DGNB LCA Results'!$M$3,"_",Q399), $A$2:$P$362,4,FALSE)*'DGNB LCA Results'!$N$3+
                                                                  VLOOKUP(CONCATENATE('DGNB LCA Results'!$K$3,"_",Q399), $A$2:$P$362,4,FALSE)*'DGNB LCA Results'!$L$3+
                                                                  VLOOKUP(CONCATENATE('DGNB LCA Results'!$I$3,"_",Q399), $A$2:$P$362,4,FALSE)*'DGNB LCA Results'!$J$3+
                                                                  VLOOKUP(CONCATENATE('DGNB LCA Results'!$G$3,"_",Q399), $A$2:$P$362,4,FALSE)*'DGNB LCA Results'!$H$3,
IF('DGNB LCA Results'!$P$4=3,VLOOKUP(CONCATENATE('DGNB LCA Results'!$M$3,"_",Q399), $A$2:$P$362,4,FALSE)*'DGNB LCA Results'!$N$3+
                                                                VLOOKUP(CONCATENATE('DGNB LCA Results'!$K$3,"_",Q399), $A$2:$P$362,4,FALSE)*'DGNB LCA Results'!$L$3+
                                                                VLOOKUP(CONCATENATE('DGNB LCA Results'!$I$3,"_",Q399),$A$2:$P$362,4,FALSE)*'DGNB LCA Results'!$J$3,
IF('DGNB LCA Results'!$P$4=2,VLOOKUP(CONCATENATE('DGNB LCA Results'!$M$3,"_",Q399), $A$2:$P$362,4,FALSE)*'DGNB LCA Results'!$N$3+
                                                                 VLOOKUP(CONCATENATE('DGNB LCA Results'!$K$3,"_",Q399),$A$2:$P$362,4,FALSE)*'DGNB LCA Results'!$L$3,
IF('DGNB LCA Results'!$P$4=1,VLOOKUP(CONCATENATE('DGNB LCA Results'!$M$3,"_",Q399), $A$2:$P$362,4,FALSE)*'DGNB LCA Results'!$N$3,0))))</f>
        <v>0</v>
      </c>
      <c r="E399" s="120">
        <f>IF('DGNB LCA Results'!$P$4=4,VLOOKUP(CONCATENATE('DGNB LCA Results'!$M$3,"_",Q399), $A$2:$P$362,5,FALSE)*'DGNB LCA Results'!$N$3+
                                                                  VLOOKUP(CONCATENATE('DGNB LCA Results'!$K$3,"_",Q399), $A$2:$P$362,5,FALSE)*'DGNB LCA Results'!$L$3+
                                                                  VLOOKUP(CONCATENATE('DGNB LCA Results'!$I$3,"_",Q399), $A$2:$P$362,5,FALSE)*'DGNB LCA Results'!$J$3+
                                                                  VLOOKUP(CONCATENATE('DGNB LCA Results'!$G$3,"_",Q399), $A$2:$P$362,5,FALSE)*'DGNB LCA Results'!$H$3,
IF('DGNB LCA Results'!$P$4=3,VLOOKUP(CONCATENATE('DGNB LCA Results'!$M$3,"_",Q399), $A$2:$P$362,5,FALSE)*'DGNB LCA Results'!$N$3+
                                                                VLOOKUP(CONCATENATE('DGNB LCA Results'!$K$3,"_",Q399), $A$2:$P$362,5,FALSE)*'DGNB LCA Results'!$L$3+
                                                                VLOOKUP(CONCATENATE('DGNB LCA Results'!$I$3,"_",Q399),$A$2:$P$362,5,FALSE)*'DGNB LCA Results'!$J$3,
IF('DGNB LCA Results'!$P$4=2,VLOOKUP(CONCATENATE('DGNB LCA Results'!$M$3,"_",Q399), $A$2:$P$362,5,FALSE)*'DGNB LCA Results'!$N$3+
                                                                 VLOOKUP(CONCATENATE('DGNB LCA Results'!$K$3,"_",Q399),$A$2:$P$362,5,FALSE)*'DGNB LCA Results'!$L$3,
IF('DGNB LCA Results'!$P$4=1,VLOOKUP(CONCATENATE('DGNB LCA Results'!$M$3,"_",Q399), $A$2:$P$362,5,FALSE)*'DGNB LCA Results'!$N$3,0))))</f>
        <v>0</v>
      </c>
      <c r="F399" s="47">
        <f>IF('DGNB LCA Results'!$P$4=4,VLOOKUP(CONCATENATE('DGNB LCA Results'!$M$3,"_",Q399), $A$2:$P$362,6,FALSE)*'DGNB LCA Results'!$N$3+
                                                                  VLOOKUP(CONCATENATE('DGNB LCA Results'!$K$3,"_",Q399), $A$2:$P$362,6,FALSE)*'DGNB LCA Results'!$L$3+
                                                                  VLOOKUP(CONCATENATE('DGNB LCA Results'!$I$3,"_",Q399), $A$2:$P$362,6,FALSE)*'DGNB LCA Results'!$J$3+
                                                                  VLOOKUP(CONCATENATE('DGNB LCA Results'!$G$3,"_",Q399), $A$2:$P$362,6,FALSE)*'DGNB LCA Results'!$H$3,
IF('DGNB LCA Results'!$P$4=3,VLOOKUP(CONCATENATE('DGNB LCA Results'!$M$3,"_",Q399), $A$2:$P$362,6,FALSE)*'DGNB LCA Results'!$N$3+
                                                                VLOOKUP(CONCATENATE('DGNB LCA Results'!$K$3,"_",Q399), $A$2:$P$362,6,FALSE)*'DGNB LCA Results'!$L$3+
                                                                VLOOKUP(CONCATENATE('DGNB LCA Results'!$I$3,"_",Q399),$A$2:$P$362,6,FALSE)*'DGNB LCA Results'!$J$3,
IF('DGNB LCA Results'!$P$4=2,VLOOKUP(CONCATENATE('DGNB LCA Results'!$M$3,"_",Q399), $A$2:$P$362,6,FALSE)*'DGNB LCA Results'!$N$3+
                                                                 VLOOKUP(CONCATENATE('DGNB LCA Results'!$K$3,"_",Q399),$A$2:$P$362,6,FALSE)*'DGNB LCA Results'!$L$3,
IF('DGNB LCA Results'!$P$4=1,VLOOKUP(CONCATENATE('DGNB LCA Results'!$M$3,"_",Q399), $A$2:$P$362,6,FALSE)*'DGNB LCA Results'!$N$3,0))))</f>
        <v>0</v>
      </c>
      <c r="G399" s="121">
        <f>IF('DGNB LCA Results'!$P$4=4,VLOOKUP(CONCATENATE('DGNB LCA Results'!$M$3,"_",Q399), $A$2:$P$362,7,FALSE)*'DGNB LCA Results'!$N$3+
                                                                  VLOOKUP(CONCATENATE('DGNB LCA Results'!$K$3,"_",Q399), $A$2:$P$362,7,FALSE)*'DGNB LCA Results'!$L$3+
                                                                  VLOOKUP(CONCATENATE('DGNB LCA Results'!$I$3,"_",Q399), $A$2:$P$362,7,FALSE)*'DGNB LCA Results'!$J$3+
                                                                  VLOOKUP(CONCATENATE('DGNB LCA Results'!$G$3,"_",Q399), $A$2:$P$362,7,FALSE)*'DGNB LCA Results'!$H$3,
IF('DGNB LCA Results'!$P$4=3,VLOOKUP(CONCATENATE('DGNB LCA Results'!$M$3,"_",Q399), $A$2:$P$362,7,FALSE)*'DGNB LCA Results'!$N$3+
                                                                VLOOKUP(CONCATENATE('DGNB LCA Results'!$K$3,"_",Q399), $A$2:$P$362,7,FALSE)*'DGNB LCA Results'!$L$3+
                                                                VLOOKUP(CONCATENATE('DGNB LCA Results'!$I$3,"_",Q399),$A$2:$P$362,7,FALSE)*'DGNB LCA Results'!$J$3,
IF('DGNB LCA Results'!$P$4=2,VLOOKUP(CONCATENATE('DGNB LCA Results'!$M$3,"_",Q399), $A$2:$P$362,7,FALSE)*'DGNB LCA Results'!$N$3+
                                                                 VLOOKUP(CONCATENATE('DGNB LCA Results'!$K$3,"_",Q399),$A$2:$P$362,7,FALSE)*'DGNB LCA Results'!$L$3,
IF('DGNB LCA Results'!$P$4=1,VLOOKUP(CONCATENATE('DGNB LCA Results'!$M$3,"_",Q399), $A$2:$P$362,7,FALSE)*'DGNB LCA Results'!$N$3,0))))</f>
        <v>0</v>
      </c>
      <c r="H399" s="120">
        <f>IF('DGNB LCA Results'!$P$4=4,VLOOKUP(CONCATENATE('DGNB LCA Results'!$M$3,"_",Q399), $A$2:$P$362,8,FALSE)*'DGNB LCA Results'!$N$3+
                                                                  VLOOKUP(CONCATENATE('DGNB LCA Results'!$K$3,"_",Q399), $A$2:$P$362,8,FALSE)*'DGNB LCA Results'!$L$3+
                                                                  VLOOKUP(CONCATENATE('DGNB LCA Results'!$I$3,"_",Q399), $A$2:$P$362,8,FALSE)*'DGNB LCA Results'!$J$3+
                                                                  VLOOKUP(CONCATENATE('DGNB LCA Results'!$G$3,"_",Q399), $A$2:$P$362,8,FALSE)*'DGNB LCA Results'!$H$3,
IF('DGNB LCA Results'!$P$4=3,VLOOKUP(CONCATENATE('DGNB LCA Results'!$M$3,"_",Q399), $A$2:$P$362,8,FALSE)*'DGNB LCA Results'!$N$3+
                                                                VLOOKUP(CONCATENATE('DGNB LCA Results'!$K$3,"_",Q399), $A$2:$P$362,8,FALSE)*'DGNB LCA Results'!$L$3+
                                                                VLOOKUP(CONCATENATE('DGNB LCA Results'!$I$3,"_",Q399),$A$2:$P$362,8,FALSE)*'DGNB LCA Results'!$J$3,
IF('DGNB LCA Results'!$P$4=2,VLOOKUP(CONCATENATE('DGNB LCA Results'!$M$3,"_",Q399), $A$2:$P$362,8,FALSE)*'DGNB LCA Results'!$N$3+
                                                                 VLOOKUP(CONCATENATE('DGNB LCA Results'!$K$3,"_",Q399),$A$2:$P$362,8,FALSE)*'DGNB LCA Results'!$L$3,
IF('DGNB LCA Results'!$P$4=1,VLOOKUP(CONCATENATE('DGNB LCA Results'!$M$3,"_",Q399), $A$2:$P$362,8,FALSE)*'DGNB LCA Results'!$N$3,0))))</f>
        <v>0</v>
      </c>
      <c r="I399" s="47">
        <f>IF('DGNB LCA Results'!$P$4=4,VLOOKUP(CONCATENATE('DGNB LCA Results'!$M$3,"_",Q399), $A$2:$P$362,9,FALSE)*'DGNB LCA Results'!$N$3+
                                                                  VLOOKUP(CONCATENATE('DGNB LCA Results'!$K$3,"_",Q399), $A$2:$P$362,9,FALSE)*'DGNB LCA Results'!$L$3+
                                                                  VLOOKUP(CONCATENATE('DGNB LCA Results'!$I$3,"_",Q399), $A$2:$P$362,9,FALSE)*'DGNB LCA Results'!$J$3+
                                                                  VLOOKUP(CONCATENATE('DGNB LCA Results'!$G$3,"_",Q399), $A$2:$P$362,9,FALSE)*'DGNB LCA Results'!$H$3,
IF('DGNB LCA Results'!$P$4=3,VLOOKUP(CONCATENATE('DGNB LCA Results'!$M$3,"_",Q399), $A$2:$P$362,9,FALSE)*'DGNB LCA Results'!$N$3+
                                                                VLOOKUP(CONCATENATE('DGNB LCA Results'!$K$3,"_",Q399), $A$2:$P$362,9,FALSE)*'DGNB LCA Results'!$L$3+
                                                                VLOOKUP(CONCATENATE('DGNB LCA Results'!$I$3,"_",Q399),$A$2:$P$362,9,FALSE)*'DGNB LCA Results'!$J$3,
IF('DGNB LCA Results'!$P$4=2,VLOOKUP(CONCATENATE('DGNB LCA Results'!$M$3,"_",Q399), $A$2:$P$362,9,FALSE)*'DGNB LCA Results'!$N$3+
                                                                 VLOOKUP(CONCATENATE('DGNB LCA Results'!$K$3,"_",Q399),$A$2:$P$362,9,FALSE)*'DGNB LCA Results'!$L$3,
IF('DGNB LCA Results'!$P$4=1,VLOOKUP(CONCATENATE('DGNB LCA Results'!$M$3,"_",Q399), $A$2:$P$362,9,FALSE)*'DGNB LCA Results'!$N$3,0))))</f>
        <v>0</v>
      </c>
      <c r="J399" s="121">
        <f>IF('DGNB LCA Results'!$P$4=4,VLOOKUP(CONCATENATE('DGNB LCA Results'!$M$3,"_",Q399), $A$2:$P$362,10,FALSE)*'DGNB LCA Results'!$N$3+
                                                                  VLOOKUP(CONCATENATE('DGNB LCA Results'!$K$3,"_",Q399), $A$2:$P$362,10,FALSE)*'DGNB LCA Results'!$L$3+
                                                                  VLOOKUP(CONCATENATE('DGNB LCA Results'!$I$3,"_",Q399), $A$2:$P$362,10,FALSE)*'DGNB LCA Results'!$J$3+
                                                                  VLOOKUP(CONCATENATE('DGNB LCA Results'!$G$3,"_",Q399), $A$2:$P$362,10,FALSE)*'DGNB LCA Results'!$H$3,
IF('DGNB LCA Results'!$P$4=3,VLOOKUP(CONCATENATE('DGNB LCA Results'!$M$3,"_",Q399), $A$2:$P$362,10,FALSE)*'DGNB LCA Results'!$N$3+
                                                                VLOOKUP(CONCATENATE('DGNB LCA Results'!$K$3,"_",Q399), $A$2:$P$362,10,FALSE)*'DGNB LCA Results'!$L$3+
                                                                VLOOKUP(CONCATENATE('DGNB LCA Results'!$I$3,"_",Q399),$A$2:$P$362,10,FALSE)*'DGNB LCA Results'!$J$3,
IF('DGNB LCA Results'!$P$4=2,VLOOKUP(CONCATENATE('DGNB LCA Results'!$M$3,"_",Q399), $A$2:$P$362,10,FALSE)*'DGNB LCA Results'!$N$3+
                                                                 VLOOKUP(CONCATENATE('DGNB LCA Results'!$K$3,"_",Q399),$A$2:$P$362,10,FALSE)*'DGNB LCA Results'!$L$3,
IF('DGNB LCA Results'!$P$4=1,VLOOKUP(CONCATENATE('DGNB LCA Results'!$M$3,"_",Q399), $A$2:$P$362,10,FALSE)*'DGNB LCA Results'!$N$3,0))))</f>
        <v>0</v>
      </c>
      <c r="K399" s="120">
        <f>IF('DGNB LCA Results'!$P$4=4,VLOOKUP(CONCATENATE('DGNB LCA Results'!$M$3,"_",Q399), $A$2:$P$362,11,FALSE)*'DGNB LCA Results'!$N$3+
                                                                  VLOOKUP(CONCATENATE('DGNB LCA Results'!$K$3,"_",Q399), $A$2:$P$362,11,FALSE)*'DGNB LCA Results'!$L$3+
                                                                  VLOOKUP(CONCATENATE('DGNB LCA Results'!$I$3,"_",Q399), $A$2:$P$362,11,FALSE)*'DGNB LCA Results'!$J$3+
                                                                  VLOOKUP(CONCATENATE('DGNB LCA Results'!$G$3,"_",Q399), $A$2:$P$362,11,FALSE)*'DGNB LCA Results'!$H$3,
IF('DGNB LCA Results'!$P$4=3,VLOOKUP(CONCATENATE('DGNB LCA Results'!$M$3,"_",Q399), $A$2:$P$362,11,FALSE)*'DGNB LCA Results'!$N$3+
                                                                VLOOKUP(CONCATENATE('DGNB LCA Results'!$K$3,"_",Q399), $A$2:$P$362,11,FALSE)*'DGNB LCA Results'!$L$3+
                                                                VLOOKUP(CONCATENATE('DGNB LCA Results'!$I$3,"_",Q399),$A$2:$P$362,11,FALSE)*'DGNB LCA Results'!$J$3,
IF('DGNB LCA Results'!$P$4=2,VLOOKUP(CONCATENATE('DGNB LCA Results'!$M$3,"_",Q399), $A$2:$P$362,11,FALSE)*'DGNB LCA Results'!$N$3+
                                                                 VLOOKUP(CONCATENATE('DGNB LCA Results'!$K$3,"_",Q399),$A$2:$P$362,11,FALSE)*'DGNB LCA Results'!$L$3,
IF('DGNB LCA Results'!$P$4=1,VLOOKUP(CONCATENATE('DGNB LCA Results'!$M$3,"_",Q399), $A$2:$P$362,11,FALSE)*'DGNB LCA Results'!$N$3,0))))</f>
        <v>0</v>
      </c>
      <c r="L399" s="47">
        <f>IF('DGNB LCA Results'!$P$4=4,VLOOKUP(CONCATENATE('DGNB LCA Results'!$M$3,"_",Q399), $A$2:$P$362,12,FALSE)*'DGNB LCA Results'!$N$3+
                                                                  VLOOKUP(CONCATENATE('DGNB LCA Results'!$K$3,"_",Q399), $A$2:$P$362,12,FALSE)*'DGNB LCA Results'!$L$3+
                                                                  VLOOKUP(CONCATENATE('DGNB LCA Results'!$I$3,"_",Q399), $A$2:$P$362,12,FALSE)*'DGNB LCA Results'!$J$3+
                                                                  VLOOKUP(CONCATENATE('DGNB LCA Results'!$G$3,"_",Q399), $A$2:$P$362,12,FALSE)*'DGNB LCA Results'!$H$3,
IF('DGNB LCA Results'!$P$4=3,VLOOKUP(CONCATENATE('DGNB LCA Results'!$M$3,"_",Q399), $A$2:$P$362,12,FALSE)*'DGNB LCA Results'!$N$3+
                                                                VLOOKUP(CONCATENATE('DGNB LCA Results'!$K$3,"_",Q399), $A$2:$P$362,12,FALSE)*'DGNB LCA Results'!$L$3+
                                                                VLOOKUP(CONCATENATE('DGNB LCA Results'!$I$3,"_",Q399),$A$2:$P$362,12,FALSE)*'DGNB LCA Results'!$J$3,
IF('DGNB LCA Results'!$P$4=2,VLOOKUP(CONCATENATE('DGNB LCA Results'!$M$3,"_",Q399), $A$2:$P$362,12,FALSE)*'DGNB LCA Results'!$N$3+
                                                                 VLOOKUP(CONCATENATE('DGNB LCA Results'!$K$3,"_",Q399),$A$2:$P$362,12,FALSE)*'DGNB LCA Results'!$L$3,
IF('DGNB LCA Results'!$P$4=1,VLOOKUP(CONCATENATE('DGNB LCA Results'!$M$3,"_",Q399), $A$2:$P$362,12,FALSE)*'DGNB LCA Results'!$N$3,0))))</f>
        <v>0</v>
      </c>
      <c r="M399" s="121">
        <f>IF('DGNB LCA Results'!$P$4=4,VLOOKUP(CONCATENATE('DGNB LCA Results'!$M$3,"_",Q399), $A$2:$P$362,13,FALSE)*'DGNB LCA Results'!$N$3+
                                                                  VLOOKUP(CONCATENATE('DGNB LCA Results'!$K$3,"_",Q399), $A$2:$P$362,13,FALSE)*'DGNB LCA Results'!$L$3+
                                                                  VLOOKUP(CONCATENATE('DGNB LCA Results'!$I$3,"_",Q399), $A$2:$P$362,13,FALSE)*'DGNB LCA Results'!$J$3+
                                                                  VLOOKUP(CONCATENATE('DGNB LCA Results'!$G$3,"_",Q399), $A$2:$P$362,13,FALSE)*'DGNB LCA Results'!$H$3,
IF('DGNB LCA Results'!$P$4=3,VLOOKUP(CONCATENATE('DGNB LCA Results'!$M$3,"_",Q399), $A$2:$P$362,13,FALSE)*'DGNB LCA Results'!$N$3+
                                                                VLOOKUP(CONCATENATE('DGNB LCA Results'!$K$3,"_",Q399), $A$2:$P$362,13,FALSE)*'DGNB LCA Results'!$L$3+
                                                                VLOOKUP(CONCATENATE('DGNB LCA Results'!$I$3,"_",Q399),$A$2:$P$362,13,FALSE)*'DGNB LCA Results'!$J$3,
IF('DGNB LCA Results'!$P$4=2,VLOOKUP(CONCATENATE('DGNB LCA Results'!$M$3,"_",Q399), $A$2:$P$362,13,FALSE)*'DGNB LCA Results'!$N$3+
                                                                 VLOOKUP(CONCATENATE('DGNB LCA Results'!$K$3,"_",Q399),$A$2:$P$362,13,FALSE)*'DGNB LCA Results'!$L$3,
IF('DGNB LCA Results'!$P$4=1,VLOOKUP(CONCATENATE('DGNB LCA Results'!$M$3,"_",Q399), $A$2:$P$362,13,FALSE)*'DGNB LCA Results'!$N$3,0))))</f>
        <v>0</v>
      </c>
      <c r="N399" s="120">
        <f>IF('DGNB LCA Results'!$P$4=4,VLOOKUP(CONCATENATE('DGNB LCA Results'!$M$3,"_",Q399), $A$2:$P$362,14,FALSE)*'DGNB LCA Results'!$N$3+
                                                                  VLOOKUP(CONCATENATE('DGNB LCA Results'!$K$3,"_",Q399), $A$2:$P$362,14,FALSE)*'DGNB LCA Results'!$L$3+
                                                                  VLOOKUP(CONCATENATE('DGNB LCA Results'!$I$3,"_",Q399), $A$2:$P$362,14,FALSE)*'DGNB LCA Results'!$J$3+
                                                                  VLOOKUP(CONCATENATE('DGNB LCA Results'!$G$3,"_",Q399), $A$2:$P$362,14,FALSE)*'DGNB LCA Results'!$H$3,
IF('DGNB LCA Results'!$P$4=3,VLOOKUP(CONCATENATE('DGNB LCA Results'!$M$3,"_",Q399), $A$2:$P$362,14,FALSE)*'DGNB LCA Results'!$N$3+
                                                                VLOOKUP(CONCATENATE('DGNB LCA Results'!$K$3,"_",Q399), $A$2:$P$362,14,FALSE)*'DGNB LCA Results'!$L$3+
                                                                VLOOKUP(CONCATENATE('DGNB LCA Results'!$I$3,"_",Q399),$A$2:$P$362,14,FALSE)*'DGNB LCA Results'!$J$3,
IF('DGNB LCA Results'!$P$4=2,VLOOKUP(CONCATENATE('DGNB LCA Results'!$M$3,"_",Q399), $A$2:$P$362,14,FALSE)*'DGNB LCA Results'!$N$3+
                                                                 VLOOKUP(CONCATENATE('DGNB LCA Results'!$K$3,"_",Q399),$A$2:$P$362,14,FALSE)*'DGNB LCA Results'!$L$3,
IF('DGNB LCA Results'!$P$4=1,VLOOKUP(CONCATENATE('DGNB LCA Results'!$M$3,"_",Q399), $A$2:$P$362,14,FALSE)*'DGNB LCA Results'!$N$3,0))))</f>
        <v>0</v>
      </c>
      <c r="O399" s="47">
        <f>IF('DGNB LCA Results'!$P$4=4,VLOOKUP(CONCATENATE('DGNB LCA Results'!$M$3,"_",Q399), $A$2:$P$362,15,FALSE)*'DGNB LCA Results'!$N$3+
                                                                  VLOOKUP(CONCATENATE('DGNB LCA Results'!$K$3,"_",Q399), $A$2:$P$362,15,FALSE)*'DGNB LCA Results'!$L$3+
                                                                  VLOOKUP(CONCATENATE('DGNB LCA Results'!$I$3,"_",Q399), $A$2:$P$362,15,FALSE)*'DGNB LCA Results'!$J$3+
                                                                  VLOOKUP(CONCATENATE('DGNB LCA Results'!$G$3,"_",Q399), $A$2:$P$362,15,FALSE)*'DGNB LCA Results'!$H$3,
IF('DGNB LCA Results'!$P$4=3,VLOOKUP(CONCATENATE('DGNB LCA Results'!$M$3,"_",Q399), $A$2:$P$362,15,FALSE)*'DGNB LCA Results'!$N$3+
                                                                VLOOKUP(CONCATENATE('DGNB LCA Results'!$K$3,"_",Q399), $A$2:$P$362,15,FALSE)*'DGNB LCA Results'!$L$3+
                                                                VLOOKUP(CONCATENATE('DGNB LCA Results'!$I$3,"_",Q399),$A$2:$P$362,15,FALSE)*'DGNB LCA Results'!$J$3,
IF('DGNB LCA Results'!$P$4=2,VLOOKUP(CONCATENATE('DGNB LCA Results'!$M$3,"_",Q399), $A$2:$P$362,15,FALSE)*'DGNB LCA Results'!$N$3+
                                                                 VLOOKUP(CONCATENATE('DGNB LCA Results'!$K$3,"_",Q399),$A$2:$P$362,15,FALSE)*'DGNB LCA Results'!$L$3,
IF('DGNB LCA Results'!$P$4=1,VLOOKUP(CONCATENATE('DGNB LCA Results'!$M$3,"_",Q399), $A$2:$P$362,15,FALSE)*'DGNB LCA Results'!$N$3,0))))</f>
        <v>0</v>
      </c>
      <c r="P399" s="121">
        <f>IF('DGNB LCA Results'!$P$4=4,VLOOKUP(CONCATENATE('DGNB LCA Results'!$M$3,"_",Q399), $A$2:$P$362,16,FALSE)*'DGNB LCA Results'!$N$3+
                                                                  VLOOKUP(CONCATENATE('DGNB LCA Results'!$K$3,"_",Q399), $A$2:$P$362,16,FALSE)*'DGNB LCA Results'!$L$3+
                                                                  VLOOKUP(CONCATENATE('DGNB LCA Results'!$I$3,"_",Q399), $A$2:$P$362,16,FALSE)*'DGNB LCA Results'!$J$3+
                                                                  VLOOKUP(CONCATENATE('DGNB LCA Results'!$G$3,"_",Q399), $A$2:$P$362,16,FALSE)*'DGNB LCA Results'!$H$3,
IF('DGNB LCA Results'!$P$4=3,VLOOKUP(CONCATENATE('DGNB LCA Results'!$M$3,"_",Q399), $A$2:$P$362,16,FALSE)*'DGNB LCA Results'!$N$3+
                                                                VLOOKUP(CONCATENATE('DGNB LCA Results'!$K$3,"_",Q399), $A$2:$P$362,16,FALSE)*'DGNB LCA Results'!$L$3+
                                                                VLOOKUP(CONCATENATE('DGNB LCA Results'!$I$3,"_",Q399),$A$2:$P$362,16,FALSE)*'DGNB LCA Results'!$J$3,
IF('DGNB LCA Results'!$P$4=2,VLOOKUP(CONCATENATE('DGNB LCA Results'!$M$3,"_",Q399), $A$2:$P$362,16,FALSE)*'DGNB LCA Results'!$N$3+
                                                                 VLOOKUP(CONCATENATE('DGNB LCA Results'!$K$3,"_",Q399),$A$2:$P$362,16,FALSE)*'DGNB LCA Results'!$L$3,
IF('DGNB LCA Results'!$P$4=1,VLOOKUP(CONCATENATE('DGNB LCA Results'!$M$3,"_",Q399), $A$2:$P$362,16,FALSE)*'DGNB LCA Results'!$N$3,0))))</f>
        <v>0</v>
      </c>
      <c r="Q399">
        <v>80</v>
      </c>
      <c r="R399" t="s">
        <v>207</v>
      </c>
    </row>
    <row r="400" spans="1:18" x14ac:dyDescent="0.2">
      <c r="A400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ref="A417:A480" si="9">IF(R417="","",CONCATENATE(R417,"_",Q417))</f>
        <v/>
      </c>
    </row>
    <row r="418" spans="1:1" x14ac:dyDescent="0.2">
      <c r="A418" t="str">
        <f t="shared" si="9"/>
        <v/>
      </c>
    </row>
    <row r="419" spans="1:1" x14ac:dyDescent="0.2">
      <c r="A419" t="str">
        <f t="shared" si="9"/>
        <v/>
      </c>
    </row>
    <row r="420" spans="1:1" x14ac:dyDescent="0.2">
      <c r="A420" t="str">
        <f t="shared" si="9"/>
        <v/>
      </c>
    </row>
    <row r="421" spans="1:1" x14ac:dyDescent="0.2">
      <c r="A421" t="str">
        <f t="shared" si="9"/>
        <v/>
      </c>
    </row>
    <row r="422" spans="1:1" x14ac:dyDescent="0.2">
      <c r="A422" t="str">
        <f t="shared" si="9"/>
        <v/>
      </c>
    </row>
    <row r="423" spans="1:1" x14ac:dyDescent="0.2">
      <c r="A423" t="str">
        <f t="shared" si="9"/>
        <v/>
      </c>
    </row>
    <row r="424" spans="1:1" x14ac:dyDescent="0.2">
      <c r="A424" t="str">
        <f t="shared" si="9"/>
        <v/>
      </c>
    </row>
    <row r="425" spans="1:1" x14ac:dyDescent="0.2">
      <c r="A425" t="str">
        <f t="shared" si="9"/>
        <v/>
      </c>
    </row>
    <row r="426" spans="1:1" x14ac:dyDescent="0.2">
      <c r="A426" t="str">
        <f t="shared" si="9"/>
        <v/>
      </c>
    </row>
    <row r="427" spans="1:1" x14ac:dyDescent="0.2">
      <c r="A427" t="str">
        <f t="shared" si="9"/>
        <v/>
      </c>
    </row>
    <row r="428" spans="1:1" x14ac:dyDescent="0.2">
      <c r="A428" t="str">
        <f t="shared" si="9"/>
        <v/>
      </c>
    </row>
    <row r="429" spans="1:1" x14ac:dyDescent="0.2">
      <c r="A429" t="str">
        <f t="shared" si="9"/>
        <v/>
      </c>
    </row>
    <row r="430" spans="1:1" x14ac:dyDescent="0.2">
      <c r="A430" t="str">
        <f t="shared" si="9"/>
        <v/>
      </c>
    </row>
    <row r="431" spans="1:1" x14ac:dyDescent="0.2">
      <c r="A431" t="str">
        <f t="shared" si="9"/>
        <v/>
      </c>
    </row>
    <row r="432" spans="1:1" x14ac:dyDescent="0.2">
      <c r="A432" t="str">
        <f t="shared" si="9"/>
        <v/>
      </c>
    </row>
    <row r="433" spans="1:1" x14ac:dyDescent="0.2">
      <c r="A433" t="str">
        <f t="shared" si="9"/>
        <v/>
      </c>
    </row>
    <row r="434" spans="1:1" x14ac:dyDescent="0.2">
      <c r="A434" t="str">
        <f t="shared" si="9"/>
        <v/>
      </c>
    </row>
    <row r="435" spans="1:1" x14ac:dyDescent="0.2">
      <c r="A435" t="str">
        <f t="shared" si="9"/>
        <v/>
      </c>
    </row>
    <row r="436" spans="1:1" x14ac:dyDescent="0.2">
      <c r="A436" t="str">
        <f t="shared" si="9"/>
        <v/>
      </c>
    </row>
    <row r="437" spans="1:1" x14ac:dyDescent="0.2">
      <c r="A437" t="str">
        <f t="shared" si="9"/>
        <v/>
      </c>
    </row>
    <row r="438" spans="1:1" x14ac:dyDescent="0.2">
      <c r="A438" t="str">
        <f t="shared" si="9"/>
        <v/>
      </c>
    </row>
    <row r="439" spans="1:1" x14ac:dyDescent="0.2">
      <c r="A439" t="str">
        <f t="shared" si="9"/>
        <v/>
      </c>
    </row>
    <row r="440" spans="1:1" x14ac:dyDescent="0.2">
      <c r="A440" t="str">
        <f t="shared" si="9"/>
        <v/>
      </c>
    </row>
    <row r="441" spans="1:1" x14ac:dyDescent="0.2">
      <c r="A441" t="str">
        <f t="shared" si="9"/>
        <v/>
      </c>
    </row>
    <row r="442" spans="1:1" x14ac:dyDescent="0.2">
      <c r="A442" t="str">
        <f t="shared" si="9"/>
        <v/>
      </c>
    </row>
    <row r="443" spans="1:1" x14ac:dyDescent="0.2">
      <c r="A443" t="str">
        <f t="shared" si="9"/>
        <v/>
      </c>
    </row>
    <row r="444" spans="1:1" x14ac:dyDescent="0.2">
      <c r="A444" t="str">
        <f t="shared" si="9"/>
        <v/>
      </c>
    </row>
    <row r="445" spans="1:1" x14ac:dyDescent="0.2">
      <c r="A445" t="str">
        <f t="shared" si="9"/>
        <v/>
      </c>
    </row>
    <row r="446" spans="1:1" x14ac:dyDescent="0.2">
      <c r="A446" t="str">
        <f t="shared" si="9"/>
        <v/>
      </c>
    </row>
    <row r="447" spans="1:1" x14ac:dyDescent="0.2">
      <c r="A447" t="str">
        <f t="shared" si="9"/>
        <v/>
      </c>
    </row>
    <row r="448" spans="1:1" x14ac:dyDescent="0.2">
      <c r="A448" t="str">
        <f t="shared" si="9"/>
        <v/>
      </c>
    </row>
    <row r="449" spans="1:1" x14ac:dyDescent="0.2">
      <c r="A449" t="str">
        <f t="shared" si="9"/>
        <v/>
      </c>
    </row>
    <row r="450" spans="1:1" x14ac:dyDescent="0.2">
      <c r="A450" t="str">
        <f t="shared" si="9"/>
        <v/>
      </c>
    </row>
    <row r="451" spans="1:1" x14ac:dyDescent="0.2">
      <c r="A451" t="str">
        <f t="shared" si="9"/>
        <v/>
      </c>
    </row>
    <row r="452" spans="1:1" x14ac:dyDescent="0.2">
      <c r="A452" t="str">
        <f t="shared" si="9"/>
        <v/>
      </c>
    </row>
    <row r="453" spans="1:1" x14ac:dyDescent="0.2">
      <c r="A453" t="str">
        <f t="shared" si="9"/>
        <v/>
      </c>
    </row>
    <row r="454" spans="1:1" x14ac:dyDescent="0.2">
      <c r="A454" t="str">
        <f t="shared" si="9"/>
        <v/>
      </c>
    </row>
    <row r="455" spans="1:1" x14ac:dyDescent="0.2">
      <c r="A455" t="str">
        <f t="shared" si="9"/>
        <v/>
      </c>
    </row>
    <row r="456" spans="1:1" x14ac:dyDescent="0.2">
      <c r="A456" t="str">
        <f t="shared" si="9"/>
        <v/>
      </c>
    </row>
    <row r="457" spans="1:1" x14ac:dyDescent="0.2">
      <c r="A457" t="str">
        <f t="shared" si="9"/>
        <v/>
      </c>
    </row>
    <row r="458" spans="1:1" x14ac:dyDescent="0.2">
      <c r="A458" t="str">
        <f t="shared" si="9"/>
        <v/>
      </c>
    </row>
    <row r="459" spans="1:1" x14ac:dyDescent="0.2">
      <c r="A459" t="str">
        <f t="shared" si="9"/>
        <v/>
      </c>
    </row>
    <row r="460" spans="1:1" x14ac:dyDescent="0.2">
      <c r="A460" t="str">
        <f t="shared" si="9"/>
        <v/>
      </c>
    </row>
    <row r="461" spans="1:1" x14ac:dyDescent="0.2">
      <c r="A461" t="str">
        <f t="shared" si="9"/>
        <v/>
      </c>
    </row>
    <row r="462" spans="1:1" x14ac:dyDescent="0.2">
      <c r="A462" t="str">
        <f t="shared" si="9"/>
        <v/>
      </c>
    </row>
    <row r="463" spans="1:1" x14ac:dyDescent="0.2">
      <c r="A463" t="str">
        <f t="shared" si="9"/>
        <v/>
      </c>
    </row>
    <row r="464" spans="1:1" x14ac:dyDescent="0.2">
      <c r="A464" t="str">
        <f t="shared" si="9"/>
        <v/>
      </c>
    </row>
    <row r="465" spans="1:1" x14ac:dyDescent="0.2">
      <c r="A465" t="str">
        <f t="shared" si="9"/>
        <v/>
      </c>
    </row>
    <row r="466" spans="1:1" x14ac:dyDescent="0.2">
      <c r="A466" t="str">
        <f t="shared" si="9"/>
        <v/>
      </c>
    </row>
    <row r="467" spans="1:1" x14ac:dyDescent="0.2">
      <c r="A467" t="str">
        <f t="shared" si="9"/>
        <v/>
      </c>
    </row>
    <row r="468" spans="1:1" x14ac:dyDescent="0.2">
      <c r="A468" t="str">
        <f t="shared" si="9"/>
        <v/>
      </c>
    </row>
    <row r="469" spans="1:1" x14ac:dyDescent="0.2">
      <c r="A469" t="str">
        <f t="shared" si="9"/>
        <v/>
      </c>
    </row>
    <row r="470" spans="1:1" x14ac:dyDescent="0.2">
      <c r="A470" t="str">
        <f t="shared" si="9"/>
        <v/>
      </c>
    </row>
    <row r="471" spans="1:1" x14ac:dyDescent="0.2">
      <c r="A471" t="str">
        <f t="shared" si="9"/>
        <v/>
      </c>
    </row>
    <row r="472" spans="1:1" x14ac:dyDescent="0.2">
      <c r="A472" t="str">
        <f t="shared" si="9"/>
        <v/>
      </c>
    </row>
    <row r="473" spans="1:1" x14ac:dyDescent="0.2">
      <c r="A473" t="str">
        <f t="shared" si="9"/>
        <v/>
      </c>
    </row>
    <row r="474" spans="1:1" x14ac:dyDescent="0.2">
      <c r="A474" t="str">
        <f t="shared" si="9"/>
        <v/>
      </c>
    </row>
    <row r="475" spans="1:1" x14ac:dyDescent="0.2">
      <c r="A475" t="str">
        <f t="shared" si="9"/>
        <v/>
      </c>
    </row>
    <row r="476" spans="1:1" x14ac:dyDescent="0.2">
      <c r="A476" t="str">
        <f t="shared" si="9"/>
        <v/>
      </c>
    </row>
    <row r="477" spans="1:1" x14ac:dyDescent="0.2">
      <c r="A477" t="str">
        <f t="shared" si="9"/>
        <v/>
      </c>
    </row>
    <row r="478" spans="1:1" x14ac:dyDescent="0.2">
      <c r="A478" t="str">
        <f t="shared" si="9"/>
        <v/>
      </c>
    </row>
    <row r="479" spans="1:1" x14ac:dyDescent="0.2">
      <c r="A479" t="str">
        <f t="shared" si="9"/>
        <v/>
      </c>
    </row>
    <row r="480" spans="1:1" x14ac:dyDescent="0.2">
      <c r="A480" t="str">
        <f t="shared" si="9"/>
        <v/>
      </c>
    </row>
    <row r="481" spans="1:1" x14ac:dyDescent="0.2">
      <c r="A481" t="str">
        <f t="shared" ref="A481:A530" si="10">IF(R481="","",CONCATENATE(R481,"_",Q481))</f>
        <v/>
      </c>
    </row>
    <row r="482" spans="1:1" x14ac:dyDescent="0.2">
      <c r="A482" t="str">
        <f t="shared" si="10"/>
        <v/>
      </c>
    </row>
    <row r="483" spans="1:1" x14ac:dyDescent="0.2">
      <c r="A483" t="str">
        <f t="shared" si="10"/>
        <v/>
      </c>
    </row>
    <row r="484" spans="1:1" x14ac:dyDescent="0.2">
      <c r="A484" t="str">
        <f t="shared" si="10"/>
        <v/>
      </c>
    </row>
    <row r="485" spans="1:1" x14ac:dyDescent="0.2">
      <c r="A485" t="str">
        <f t="shared" si="10"/>
        <v/>
      </c>
    </row>
    <row r="486" spans="1:1" x14ac:dyDescent="0.2">
      <c r="A486" t="str">
        <f t="shared" si="10"/>
        <v/>
      </c>
    </row>
    <row r="487" spans="1:1" x14ac:dyDescent="0.2">
      <c r="A487" t="str">
        <f t="shared" si="10"/>
        <v/>
      </c>
    </row>
    <row r="488" spans="1:1" x14ac:dyDescent="0.2">
      <c r="A488" t="str">
        <f t="shared" si="10"/>
        <v/>
      </c>
    </row>
    <row r="489" spans="1:1" x14ac:dyDescent="0.2">
      <c r="A489" t="str">
        <f t="shared" si="10"/>
        <v/>
      </c>
    </row>
    <row r="490" spans="1:1" x14ac:dyDescent="0.2">
      <c r="A490" t="str">
        <f t="shared" si="10"/>
        <v/>
      </c>
    </row>
    <row r="491" spans="1:1" x14ac:dyDescent="0.2">
      <c r="A491" t="str">
        <f t="shared" si="10"/>
        <v/>
      </c>
    </row>
    <row r="492" spans="1:1" x14ac:dyDescent="0.2">
      <c r="A492" t="str">
        <f t="shared" si="10"/>
        <v/>
      </c>
    </row>
    <row r="493" spans="1:1" x14ac:dyDescent="0.2">
      <c r="A493" t="str">
        <f t="shared" si="10"/>
        <v/>
      </c>
    </row>
    <row r="494" spans="1:1" x14ac:dyDescent="0.2">
      <c r="A494" t="str">
        <f t="shared" si="10"/>
        <v/>
      </c>
    </row>
    <row r="495" spans="1:1" x14ac:dyDescent="0.2">
      <c r="A495" t="str">
        <f t="shared" si="10"/>
        <v/>
      </c>
    </row>
    <row r="496" spans="1:1" x14ac:dyDescent="0.2">
      <c r="A496" t="str">
        <f t="shared" si="10"/>
        <v/>
      </c>
    </row>
    <row r="497" spans="1:1" x14ac:dyDescent="0.2">
      <c r="A497" t="str">
        <f t="shared" si="10"/>
        <v/>
      </c>
    </row>
    <row r="498" spans="1:1" x14ac:dyDescent="0.2">
      <c r="A498" t="str">
        <f t="shared" si="10"/>
        <v/>
      </c>
    </row>
    <row r="499" spans="1:1" x14ac:dyDescent="0.2">
      <c r="A499" t="str">
        <f t="shared" si="10"/>
        <v/>
      </c>
    </row>
    <row r="500" spans="1:1" x14ac:dyDescent="0.2">
      <c r="A500" t="str">
        <f t="shared" si="10"/>
        <v/>
      </c>
    </row>
    <row r="501" spans="1:1" x14ac:dyDescent="0.2">
      <c r="A501" t="str">
        <f t="shared" si="10"/>
        <v/>
      </c>
    </row>
    <row r="502" spans="1:1" x14ac:dyDescent="0.2">
      <c r="A502" t="str">
        <f t="shared" si="10"/>
        <v/>
      </c>
    </row>
    <row r="503" spans="1:1" x14ac:dyDescent="0.2">
      <c r="A503" t="str">
        <f t="shared" si="10"/>
        <v/>
      </c>
    </row>
    <row r="504" spans="1:1" x14ac:dyDescent="0.2">
      <c r="A504" t="str">
        <f t="shared" si="10"/>
        <v/>
      </c>
    </row>
    <row r="505" spans="1:1" x14ac:dyDescent="0.2">
      <c r="A505" t="str">
        <f t="shared" si="10"/>
        <v/>
      </c>
    </row>
    <row r="506" spans="1:1" x14ac:dyDescent="0.2">
      <c r="A506" t="str">
        <f t="shared" si="10"/>
        <v/>
      </c>
    </row>
    <row r="507" spans="1:1" x14ac:dyDescent="0.2">
      <c r="A507" t="str">
        <f t="shared" si="10"/>
        <v/>
      </c>
    </row>
    <row r="508" spans="1:1" x14ac:dyDescent="0.2">
      <c r="A508" t="str">
        <f t="shared" si="10"/>
        <v/>
      </c>
    </row>
    <row r="509" spans="1:1" x14ac:dyDescent="0.2">
      <c r="A509" t="str">
        <f t="shared" si="10"/>
        <v/>
      </c>
    </row>
    <row r="510" spans="1:1" x14ac:dyDescent="0.2">
      <c r="A510" t="str">
        <f t="shared" si="10"/>
        <v/>
      </c>
    </row>
    <row r="511" spans="1:1" x14ac:dyDescent="0.2">
      <c r="A511" t="str">
        <f t="shared" si="10"/>
        <v/>
      </c>
    </row>
    <row r="512" spans="1:1" x14ac:dyDescent="0.2">
      <c r="A512" t="str">
        <f t="shared" si="10"/>
        <v/>
      </c>
    </row>
    <row r="513" spans="1:1" x14ac:dyDescent="0.2">
      <c r="A513" t="str">
        <f t="shared" si="10"/>
        <v/>
      </c>
    </row>
    <row r="514" spans="1:1" x14ac:dyDescent="0.2">
      <c r="A514" t="str">
        <f t="shared" si="10"/>
        <v/>
      </c>
    </row>
    <row r="515" spans="1:1" x14ac:dyDescent="0.2">
      <c r="A515" t="str">
        <f t="shared" si="10"/>
        <v/>
      </c>
    </row>
    <row r="516" spans="1:1" x14ac:dyDescent="0.2">
      <c r="A516" t="str">
        <f t="shared" si="10"/>
        <v/>
      </c>
    </row>
    <row r="517" spans="1:1" x14ac:dyDescent="0.2">
      <c r="A517" t="str">
        <f t="shared" si="10"/>
        <v/>
      </c>
    </row>
    <row r="518" spans="1:1" x14ac:dyDescent="0.2">
      <c r="A518" t="str">
        <f t="shared" si="10"/>
        <v/>
      </c>
    </row>
    <row r="519" spans="1:1" x14ac:dyDescent="0.2">
      <c r="A519" t="str">
        <f t="shared" si="10"/>
        <v/>
      </c>
    </row>
    <row r="520" spans="1:1" x14ac:dyDescent="0.2">
      <c r="A520" t="str">
        <f t="shared" si="10"/>
        <v/>
      </c>
    </row>
    <row r="521" spans="1:1" x14ac:dyDescent="0.2">
      <c r="A521" t="str">
        <f t="shared" si="10"/>
        <v/>
      </c>
    </row>
    <row r="522" spans="1:1" x14ac:dyDescent="0.2">
      <c r="A522" t="str">
        <f t="shared" si="10"/>
        <v/>
      </c>
    </row>
    <row r="523" spans="1:1" x14ac:dyDescent="0.2">
      <c r="A523" t="str">
        <f t="shared" si="10"/>
        <v/>
      </c>
    </row>
    <row r="524" spans="1:1" x14ac:dyDescent="0.2">
      <c r="A524" t="str">
        <f t="shared" si="10"/>
        <v/>
      </c>
    </row>
    <row r="525" spans="1:1" x14ac:dyDescent="0.2">
      <c r="A525" t="str">
        <f t="shared" si="10"/>
        <v/>
      </c>
    </row>
    <row r="526" spans="1:1" x14ac:dyDescent="0.2">
      <c r="A526" t="str">
        <f t="shared" si="10"/>
        <v/>
      </c>
    </row>
    <row r="527" spans="1:1" x14ac:dyDescent="0.2">
      <c r="A527" t="str">
        <f t="shared" si="10"/>
        <v/>
      </c>
    </row>
    <row r="528" spans="1:1" x14ac:dyDescent="0.2">
      <c r="A528" t="str">
        <f t="shared" si="10"/>
        <v/>
      </c>
    </row>
    <row r="529" spans="1:1" x14ac:dyDescent="0.2">
      <c r="A529" t="str">
        <f t="shared" si="10"/>
        <v/>
      </c>
    </row>
    <row r="530" spans="1:1" x14ac:dyDescent="0.2">
      <c r="A530" t="str">
        <f t="shared" si="10"/>
        <v/>
      </c>
    </row>
  </sheetData>
  <autoFilter ref="A1:R530" xr:uid="{00000000-0009-0000-0000-000004000000}"/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363D69D-DA52-464B-BB25-078598D0BFBC}">
            <xm:f>FIND("MIX12",'DGNB LCA Results'!$O$5:$P$5)</xm:f>
            <x14:dxf>
              <font>
                <color theme="1"/>
              </font>
            </x14:dxf>
          </x14:cfRule>
          <xm:sqref>A364:R375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H526"/>
  <sheetViews>
    <sheetView workbookViewId="0">
      <pane ySplit="1" topLeftCell="A307" activePane="bottomLeft" state="frozen"/>
      <selection pane="bottomLeft" activeCell="B394" sqref="B394"/>
    </sheetView>
  </sheetViews>
  <sheetFormatPr baseColWidth="10" defaultColWidth="11.5" defaultRowHeight="15" x14ac:dyDescent="0.2"/>
  <cols>
    <col min="1" max="1" width="14" customWidth="1"/>
    <col min="2" max="2" width="19.33203125" customWidth="1"/>
    <col min="3" max="3" width="18" customWidth="1"/>
    <col min="4" max="4" width="18.83203125" customWidth="1"/>
  </cols>
  <sheetData>
    <row r="1" spans="1:8" x14ac:dyDescent="0.2">
      <c r="A1" t="s">
        <v>112</v>
      </c>
      <c r="B1" s="119" t="s">
        <v>128</v>
      </c>
      <c r="C1" s="119" t="s">
        <v>129</v>
      </c>
      <c r="D1" s="119" t="s">
        <v>130</v>
      </c>
      <c r="E1" t="s">
        <v>55</v>
      </c>
      <c r="F1" s="119" t="s">
        <v>106</v>
      </c>
    </row>
    <row r="2" spans="1:8" x14ac:dyDescent="0.2">
      <c r="A2" t="str">
        <f>IF(F2="","",CONCATENATE(F2,"_",E2))</f>
        <v>NBV15_10</v>
      </c>
      <c r="B2">
        <v>1.4</v>
      </c>
      <c r="C2">
        <v>1</v>
      </c>
      <c r="D2">
        <v>1</v>
      </c>
      <c r="E2">
        <v>10</v>
      </c>
      <c r="F2" t="s">
        <v>0</v>
      </c>
      <c r="G2" s="207"/>
      <c r="H2" s="207"/>
    </row>
    <row r="3" spans="1:8" x14ac:dyDescent="0.2">
      <c r="A3" t="str">
        <f t="shared" ref="A3:A66" si="0">IF(F3="","",CONCATENATE(F3,"_",E3))</f>
        <v>NBV15_20</v>
      </c>
      <c r="B3">
        <v>1.3</v>
      </c>
      <c r="C3">
        <v>1</v>
      </c>
      <c r="D3">
        <v>1</v>
      </c>
      <c r="E3">
        <v>20</v>
      </c>
      <c r="F3" t="s">
        <v>0</v>
      </c>
      <c r="G3" s="207"/>
      <c r="H3" s="207"/>
    </row>
    <row r="4" spans="1:8" x14ac:dyDescent="0.2">
      <c r="A4" t="str">
        <f t="shared" si="0"/>
        <v>NBV15_30</v>
      </c>
      <c r="B4">
        <v>1.2</v>
      </c>
      <c r="C4">
        <v>1</v>
      </c>
      <c r="D4">
        <v>1</v>
      </c>
      <c r="E4">
        <v>30</v>
      </c>
      <c r="F4" t="s">
        <v>0</v>
      </c>
      <c r="G4" s="207"/>
      <c r="H4" s="207"/>
    </row>
    <row r="5" spans="1:8" x14ac:dyDescent="0.2">
      <c r="A5" t="str">
        <f t="shared" si="0"/>
        <v>NBV15_40</v>
      </c>
      <c r="B5">
        <v>1.1000000000000001</v>
      </c>
      <c r="C5">
        <v>1</v>
      </c>
      <c r="D5">
        <v>1</v>
      </c>
      <c r="E5">
        <v>40</v>
      </c>
      <c r="F5" t="s">
        <v>0</v>
      </c>
      <c r="G5" s="207"/>
      <c r="H5" s="207"/>
    </row>
    <row r="6" spans="1:8" x14ac:dyDescent="0.2">
      <c r="A6" t="str">
        <f t="shared" si="0"/>
        <v>NBV15_50</v>
      </c>
      <c r="B6">
        <v>1</v>
      </c>
      <c r="C6">
        <v>1</v>
      </c>
      <c r="D6">
        <v>1</v>
      </c>
      <c r="E6">
        <v>50</v>
      </c>
      <c r="F6" t="s">
        <v>0</v>
      </c>
      <c r="G6" s="207"/>
      <c r="H6" s="207"/>
    </row>
    <row r="7" spans="1:8" x14ac:dyDescent="0.2">
      <c r="A7" t="str">
        <f t="shared" si="0"/>
        <v>NBV15_60</v>
      </c>
      <c r="B7">
        <v>0.94</v>
      </c>
      <c r="C7">
        <v>1</v>
      </c>
      <c r="D7">
        <v>1</v>
      </c>
      <c r="E7">
        <v>60</v>
      </c>
      <c r="F7" t="s">
        <v>0</v>
      </c>
      <c r="G7" s="207"/>
      <c r="H7" s="207"/>
    </row>
    <row r="8" spans="1:8" x14ac:dyDescent="0.2">
      <c r="A8" t="str">
        <f t="shared" si="0"/>
        <v>NBV15_70</v>
      </c>
      <c r="B8">
        <v>0.88</v>
      </c>
      <c r="C8">
        <v>1</v>
      </c>
      <c r="D8">
        <v>1</v>
      </c>
      <c r="E8">
        <v>70</v>
      </c>
      <c r="F8" t="s">
        <v>0</v>
      </c>
      <c r="G8" s="207"/>
      <c r="H8" s="207"/>
    </row>
    <row r="9" spans="1:8" x14ac:dyDescent="0.2">
      <c r="A9" t="str">
        <f t="shared" si="0"/>
        <v>NBV15_75</v>
      </c>
      <c r="B9">
        <v>0.85</v>
      </c>
      <c r="C9">
        <v>1</v>
      </c>
      <c r="D9">
        <v>1</v>
      </c>
      <c r="E9">
        <v>75</v>
      </c>
      <c r="F9" t="s">
        <v>0</v>
      </c>
      <c r="G9" s="207"/>
      <c r="H9" s="207"/>
    </row>
    <row r="10" spans="1:8" x14ac:dyDescent="0.2">
      <c r="A10" t="str">
        <f t="shared" si="0"/>
        <v>NBV15_80</v>
      </c>
      <c r="B10">
        <v>0.82</v>
      </c>
      <c r="C10">
        <v>1</v>
      </c>
      <c r="D10">
        <v>1</v>
      </c>
      <c r="E10">
        <v>80</v>
      </c>
      <c r="F10" t="s">
        <v>0</v>
      </c>
      <c r="G10" s="207"/>
      <c r="H10" s="207"/>
    </row>
    <row r="11" spans="1:8" x14ac:dyDescent="0.2">
      <c r="A11" t="str">
        <f t="shared" si="0"/>
        <v>NBV15_90</v>
      </c>
      <c r="B11">
        <v>0.76</v>
      </c>
      <c r="C11">
        <v>1</v>
      </c>
      <c r="D11">
        <v>1</v>
      </c>
      <c r="E11">
        <v>90</v>
      </c>
      <c r="F11" t="s">
        <v>0</v>
      </c>
      <c r="G11" s="207"/>
      <c r="H11" s="207"/>
    </row>
    <row r="12" spans="1:8" x14ac:dyDescent="0.2">
      <c r="A12" t="str">
        <f t="shared" si="0"/>
        <v>NBV15_100</v>
      </c>
      <c r="B12">
        <v>0.7</v>
      </c>
      <c r="C12">
        <v>1</v>
      </c>
      <c r="D12">
        <v>1</v>
      </c>
      <c r="E12">
        <v>100</v>
      </c>
      <c r="F12" t="s">
        <v>0</v>
      </c>
      <c r="G12" s="207"/>
      <c r="H12" s="207"/>
    </row>
    <row r="13" spans="1:8" x14ac:dyDescent="0.2">
      <c r="A13" t="str">
        <f t="shared" si="0"/>
        <v>NBV15_110</v>
      </c>
      <c r="B13">
        <v>0.7</v>
      </c>
      <c r="C13">
        <v>1</v>
      </c>
      <c r="D13">
        <v>0.75</v>
      </c>
      <c r="E13">
        <v>110</v>
      </c>
      <c r="F13" t="s">
        <v>0</v>
      </c>
      <c r="G13" s="207"/>
      <c r="H13" s="207"/>
    </row>
    <row r="14" spans="1:8" x14ac:dyDescent="0.2">
      <c r="A14" t="str">
        <f t="shared" si="0"/>
        <v>NBV15_120</v>
      </c>
      <c r="B14">
        <v>0.7</v>
      </c>
      <c r="C14">
        <v>1</v>
      </c>
      <c r="D14">
        <v>0.5</v>
      </c>
      <c r="E14">
        <v>120</v>
      </c>
      <c r="F14" t="s">
        <v>0</v>
      </c>
      <c r="G14" s="207"/>
      <c r="H14" s="207"/>
    </row>
    <row r="15" spans="1:8" x14ac:dyDescent="0.2">
      <c r="A15" t="str">
        <f t="shared" si="0"/>
        <v/>
      </c>
    </row>
    <row r="16" spans="1:8" x14ac:dyDescent="0.2">
      <c r="A16" t="str">
        <f t="shared" si="0"/>
        <v>NBV12_U_10</v>
      </c>
      <c r="B16">
        <v>1.4</v>
      </c>
      <c r="C16">
        <v>1</v>
      </c>
      <c r="D16">
        <v>1</v>
      </c>
      <c r="E16">
        <v>10</v>
      </c>
      <c r="F16" t="s">
        <v>74</v>
      </c>
    </row>
    <row r="17" spans="1:6" x14ac:dyDescent="0.2">
      <c r="A17" t="str">
        <f t="shared" si="0"/>
        <v>NBV12_U_20</v>
      </c>
      <c r="B17">
        <v>1.3</v>
      </c>
      <c r="C17">
        <v>1</v>
      </c>
      <c r="D17">
        <v>1</v>
      </c>
      <c r="E17">
        <v>20</v>
      </c>
      <c r="F17" t="s">
        <v>74</v>
      </c>
    </row>
    <row r="18" spans="1:6" x14ac:dyDescent="0.2">
      <c r="A18" t="str">
        <f t="shared" si="0"/>
        <v>NBV12_U_30</v>
      </c>
      <c r="B18">
        <v>1.2</v>
      </c>
      <c r="C18">
        <v>1</v>
      </c>
      <c r="D18">
        <v>1</v>
      </c>
      <c r="E18">
        <v>30</v>
      </c>
      <c r="F18" t="s">
        <v>74</v>
      </c>
    </row>
    <row r="19" spans="1:6" x14ac:dyDescent="0.2">
      <c r="A19" t="str">
        <f t="shared" si="0"/>
        <v>NBV12_U_40</v>
      </c>
      <c r="B19">
        <v>1.1000000000000001</v>
      </c>
      <c r="C19">
        <v>1</v>
      </c>
      <c r="D19">
        <v>1</v>
      </c>
      <c r="E19">
        <v>40</v>
      </c>
      <c r="F19" t="s">
        <v>74</v>
      </c>
    </row>
    <row r="20" spans="1:6" x14ac:dyDescent="0.2">
      <c r="A20" t="str">
        <f t="shared" si="0"/>
        <v>NBV12_U_50</v>
      </c>
      <c r="B20">
        <v>1</v>
      </c>
      <c r="C20">
        <v>1</v>
      </c>
      <c r="D20">
        <v>1</v>
      </c>
      <c r="E20">
        <v>50</v>
      </c>
      <c r="F20" t="s">
        <v>74</v>
      </c>
    </row>
    <row r="21" spans="1:6" x14ac:dyDescent="0.2">
      <c r="A21" t="str">
        <f t="shared" si="0"/>
        <v>NBV12_U_60</v>
      </c>
      <c r="B21">
        <v>0.94</v>
      </c>
      <c r="C21">
        <v>1</v>
      </c>
      <c r="D21">
        <v>1</v>
      </c>
      <c r="E21">
        <v>60</v>
      </c>
      <c r="F21" t="s">
        <v>74</v>
      </c>
    </row>
    <row r="22" spans="1:6" x14ac:dyDescent="0.2">
      <c r="A22" t="str">
        <f t="shared" si="0"/>
        <v>NBV12_U_70</v>
      </c>
      <c r="B22">
        <v>0.88</v>
      </c>
      <c r="C22">
        <v>1</v>
      </c>
      <c r="D22">
        <v>1</v>
      </c>
      <c r="E22">
        <v>70</v>
      </c>
      <c r="F22" t="s">
        <v>74</v>
      </c>
    </row>
    <row r="23" spans="1:6" x14ac:dyDescent="0.2">
      <c r="A23" t="str">
        <f t="shared" si="0"/>
        <v>NBV12_U_75</v>
      </c>
      <c r="B23">
        <v>0.85</v>
      </c>
      <c r="C23">
        <v>1</v>
      </c>
      <c r="D23">
        <v>1</v>
      </c>
      <c r="E23">
        <v>75</v>
      </c>
      <c r="F23" t="s">
        <v>74</v>
      </c>
    </row>
    <row r="24" spans="1:6" x14ac:dyDescent="0.2">
      <c r="A24" t="str">
        <f t="shared" si="0"/>
        <v>NBV12_U_80</v>
      </c>
      <c r="B24">
        <v>0.82</v>
      </c>
      <c r="C24">
        <v>1</v>
      </c>
      <c r="D24">
        <v>1</v>
      </c>
      <c r="E24">
        <v>80</v>
      </c>
      <c r="F24" t="s">
        <v>74</v>
      </c>
    </row>
    <row r="25" spans="1:6" x14ac:dyDescent="0.2">
      <c r="A25" t="str">
        <f t="shared" si="0"/>
        <v>NBV12_U_90</v>
      </c>
      <c r="B25">
        <v>0.76</v>
      </c>
      <c r="C25">
        <v>1</v>
      </c>
      <c r="D25">
        <v>1</v>
      </c>
      <c r="E25">
        <v>90</v>
      </c>
      <c r="F25" t="s">
        <v>74</v>
      </c>
    </row>
    <row r="26" spans="1:6" x14ac:dyDescent="0.2">
      <c r="A26" t="str">
        <f t="shared" si="0"/>
        <v>NBV12_U_100</v>
      </c>
      <c r="B26">
        <v>0.7</v>
      </c>
      <c r="C26">
        <v>1</v>
      </c>
      <c r="D26">
        <v>1</v>
      </c>
      <c r="E26">
        <v>100</v>
      </c>
      <c r="F26" t="s">
        <v>74</v>
      </c>
    </row>
    <row r="27" spans="1:6" x14ac:dyDescent="0.2">
      <c r="A27" t="str">
        <f t="shared" si="0"/>
        <v/>
      </c>
    </row>
    <row r="28" spans="1:6" x14ac:dyDescent="0.2">
      <c r="A28" t="str">
        <f t="shared" si="0"/>
        <v>NBI15_10</v>
      </c>
      <c r="B28">
        <v>1.4</v>
      </c>
      <c r="C28">
        <v>1</v>
      </c>
      <c r="D28">
        <v>1</v>
      </c>
      <c r="E28">
        <v>10</v>
      </c>
      <c r="F28" t="s">
        <v>76</v>
      </c>
    </row>
    <row r="29" spans="1:6" x14ac:dyDescent="0.2">
      <c r="A29" t="str">
        <f t="shared" si="0"/>
        <v>NBI15_20</v>
      </c>
      <c r="B29">
        <v>1.3</v>
      </c>
      <c r="C29">
        <v>1</v>
      </c>
      <c r="D29">
        <v>1</v>
      </c>
      <c r="E29">
        <v>20</v>
      </c>
      <c r="F29" t="s">
        <v>76</v>
      </c>
    </row>
    <row r="30" spans="1:6" x14ac:dyDescent="0.2">
      <c r="A30" t="str">
        <f t="shared" si="0"/>
        <v>NBI15_30</v>
      </c>
      <c r="B30">
        <v>1.2</v>
      </c>
      <c r="C30">
        <v>1</v>
      </c>
      <c r="D30">
        <v>1</v>
      </c>
      <c r="E30">
        <v>30</v>
      </c>
      <c r="F30" t="s">
        <v>76</v>
      </c>
    </row>
    <row r="31" spans="1:6" x14ac:dyDescent="0.2">
      <c r="A31" t="str">
        <f t="shared" si="0"/>
        <v>NBI15_40</v>
      </c>
      <c r="B31">
        <v>1.1000000000000001</v>
      </c>
      <c r="C31">
        <v>1</v>
      </c>
      <c r="D31">
        <v>1</v>
      </c>
      <c r="E31">
        <v>40</v>
      </c>
      <c r="F31" t="s">
        <v>76</v>
      </c>
    </row>
    <row r="32" spans="1:6" x14ac:dyDescent="0.2">
      <c r="A32" t="str">
        <f t="shared" si="0"/>
        <v>NBI15_50</v>
      </c>
      <c r="B32">
        <v>1</v>
      </c>
      <c r="C32">
        <v>1</v>
      </c>
      <c r="D32">
        <v>1</v>
      </c>
      <c r="E32">
        <v>50</v>
      </c>
      <c r="F32" t="s">
        <v>76</v>
      </c>
    </row>
    <row r="33" spans="1:6" x14ac:dyDescent="0.2">
      <c r="A33" t="str">
        <f t="shared" si="0"/>
        <v>NBI15_60</v>
      </c>
      <c r="B33">
        <v>0.92</v>
      </c>
      <c r="C33">
        <v>1</v>
      </c>
      <c r="D33">
        <v>1</v>
      </c>
      <c r="E33">
        <v>60</v>
      </c>
      <c r="F33" t="s">
        <v>76</v>
      </c>
    </row>
    <row r="34" spans="1:6" x14ac:dyDescent="0.2">
      <c r="A34" t="str">
        <f t="shared" si="0"/>
        <v>NBI15_70</v>
      </c>
      <c r="B34">
        <v>0.83</v>
      </c>
      <c r="C34">
        <v>1</v>
      </c>
      <c r="D34">
        <v>1</v>
      </c>
      <c r="E34">
        <v>70</v>
      </c>
      <c r="F34" t="s">
        <v>76</v>
      </c>
    </row>
    <row r="35" spans="1:6" x14ac:dyDescent="0.2">
      <c r="A35" t="str">
        <f t="shared" si="0"/>
        <v>NBI15_75</v>
      </c>
      <c r="B35">
        <v>0.75</v>
      </c>
      <c r="C35">
        <v>1</v>
      </c>
      <c r="D35">
        <v>1</v>
      </c>
      <c r="E35">
        <v>75</v>
      </c>
      <c r="F35" t="s">
        <v>76</v>
      </c>
    </row>
    <row r="36" spans="1:6" x14ac:dyDescent="0.2">
      <c r="A36" t="str">
        <f t="shared" si="0"/>
        <v>NBI15_80</v>
      </c>
      <c r="B36">
        <v>0.67</v>
      </c>
      <c r="C36">
        <v>1</v>
      </c>
      <c r="D36">
        <v>1</v>
      </c>
      <c r="E36">
        <v>80</v>
      </c>
      <c r="F36" t="s">
        <v>76</v>
      </c>
    </row>
    <row r="37" spans="1:6" x14ac:dyDescent="0.2">
      <c r="A37" t="str">
        <f t="shared" si="0"/>
        <v>NBI15_90</v>
      </c>
      <c r="B37">
        <v>0.57999999999999996</v>
      </c>
      <c r="C37">
        <v>1</v>
      </c>
      <c r="D37">
        <v>1</v>
      </c>
      <c r="E37">
        <v>90</v>
      </c>
      <c r="F37" t="s">
        <v>76</v>
      </c>
    </row>
    <row r="38" spans="1:6" x14ac:dyDescent="0.2">
      <c r="A38" t="str">
        <f t="shared" si="0"/>
        <v>NBI15_100</v>
      </c>
      <c r="B38">
        <v>0.5</v>
      </c>
      <c r="C38">
        <v>1</v>
      </c>
      <c r="D38">
        <v>1</v>
      </c>
      <c r="E38">
        <v>100</v>
      </c>
      <c r="F38" t="s">
        <v>76</v>
      </c>
    </row>
    <row r="39" spans="1:6" x14ac:dyDescent="0.2">
      <c r="A39" t="str">
        <f t="shared" si="0"/>
        <v>NBI15_110</v>
      </c>
      <c r="B39">
        <v>0.5</v>
      </c>
      <c r="C39">
        <v>1</v>
      </c>
      <c r="D39">
        <v>0.75</v>
      </c>
      <c r="E39">
        <v>110</v>
      </c>
      <c r="F39" t="s">
        <v>76</v>
      </c>
    </row>
    <row r="40" spans="1:6" x14ac:dyDescent="0.2">
      <c r="A40" t="str">
        <f t="shared" si="0"/>
        <v>NBI15_120</v>
      </c>
      <c r="B40">
        <v>0.5</v>
      </c>
      <c r="C40">
        <v>1</v>
      </c>
      <c r="D40">
        <v>0.5</v>
      </c>
      <c r="E40">
        <v>120</v>
      </c>
      <c r="F40" t="s">
        <v>76</v>
      </c>
    </row>
    <row r="41" spans="1:6" x14ac:dyDescent="0.2">
      <c r="A41" t="str">
        <f t="shared" si="0"/>
        <v/>
      </c>
    </row>
    <row r="42" spans="1:6" x14ac:dyDescent="0.2">
      <c r="A42" t="str">
        <f t="shared" si="0"/>
        <v>NBI12_U_10</v>
      </c>
      <c r="B42">
        <v>1.4</v>
      </c>
      <c r="C42">
        <v>1</v>
      </c>
      <c r="D42">
        <v>1</v>
      </c>
      <c r="E42">
        <v>10</v>
      </c>
      <c r="F42" t="s">
        <v>78</v>
      </c>
    </row>
    <row r="43" spans="1:6" x14ac:dyDescent="0.2">
      <c r="A43" t="str">
        <f t="shared" si="0"/>
        <v>NBI12_U_20</v>
      </c>
      <c r="B43">
        <v>1.3</v>
      </c>
      <c r="C43">
        <v>1</v>
      </c>
      <c r="D43">
        <v>1</v>
      </c>
      <c r="E43">
        <v>20</v>
      </c>
      <c r="F43" t="s">
        <v>78</v>
      </c>
    </row>
    <row r="44" spans="1:6" x14ac:dyDescent="0.2">
      <c r="A44" t="str">
        <f t="shared" si="0"/>
        <v>NBI12_U_30</v>
      </c>
      <c r="B44">
        <v>1.2</v>
      </c>
      <c r="C44">
        <v>1</v>
      </c>
      <c r="D44">
        <v>1</v>
      </c>
      <c r="E44">
        <v>30</v>
      </c>
      <c r="F44" t="s">
        <v>78</v>
      </c>
    </row>
    <row r="45" spans="1:6" x14ac:dyDescent="0.2">
      <c r="A45" t="str">
        <f t="shared" si="0"/>
        <v>NBI12_U_40</v>
      </c>
      <c r="B45">
        <v>1.1000000000000001</v>
      </c>
      <c r="C45">
        <v>1</v>
      </c>
      <c r="D45">
        <v>1</v>
      </c>
      <c r="E45">
        <v>40</v>
      </c>
      <c r="F45" t="s">
        <v>78</v>
      </c>
    </row>
    <row r="46" spans="1:6" x14ac:dyDescent="0.2">
      <c r="A46" t="str">
        <f t="shared" si="0"/>
        <v>NBI12_U_50</v>
      </c>
      <c r="B46">
        <v>1</v>
      </c>
      <c r="C46">
        <v>1</v>
      </c>
      <c r="D46">
        <v>1</v>
      </c>
      <c r="E46">
        <v>50</v>
      </c>
      <c r="F46" t="s">
        <v>78</v>
      </c>
    </row>
    <row r="47" spans="1:6" x14ac:dyDescent="0.2">
      <c r="A47" t="str">
        <f t="shared" si="0"/>
        <v>NBI12_U_60</v>
      </c>
      <c r="B47">
        <v>0.92</v>
      </c>
      <c r="C47">
        <v>1</v>
      </c>
      <c r="D47">
        <v>1</v>
      </c>
      <c r="E47">
        <v>60</v>
      </c>
      <c r="F47" t="s">
        <v>78</v>
      </c>
    </row>
    <row r="48" spans="1:6" x14ac:dyDescent="0.2">
      <c r="A48" t="str">
        <f t="shared" si="0"/>
        <v>NBI12_U_70</v>
      </c>
      <c r="B48">
        <v>0.83</v>
      </c>
      <c r="C48">
        <v>1</v>
      </c>
      <c r="D48">
        <v>1</v>
      </c>
      <c r="E48">
        <v>70</v>
      </c>
      <c r="F48" t="s">
        <v>78</v>
      </c>
    </row>
    <row r="49" spans="1:6" x14ac:dyDescent="0.2">
      <c r="A49" t="str">
        <f t="shared" si="0"/>
        <v>NBI12_U_75</v>
      </c>
      <c r="B49">
        <v>0.75</v>
      </c>
      <c r="C49">
        <v>1</v>
      </c>
      <c r="D49">
        <v>1</v>
      </c>
      <c r="E49">
        <v>75</v>
      </c>
      <c r="F49" t="s">
        <v>78</v>
      </c>
    </row>
    <row r="50" spans="1:6" x14ac:dyDescent="0.2">
      <c r="A50" t="str">
        <f t="shared" si="0"/>
        <v>NBI12_U_80</v>
      </c>
      <c r="B50">
        <v>0.67</v>
      </c>
      <c r="C50">
        <v>1</v>
      </c>
      <c r="D50">
        <v>1</v>
      </c>
      <c r="E50">
        <v>80</v>
      </c>
      <c r="F50" t="s">
        <v>78</v>
      </c>
    </row>
    <row r="51" spans="1:6" x14ac:dyDescent="0.2">
      <c r="A51" t="str">
        <f t="shared" si="0"/>
        <v>NBI12_U_90</v>
      </c>
      <c r="B51">
        <v>0.57999999999999996</v>
      </c>
      <c r="C51">
        <v>1</v>
      </c>
      <c r="D51">
        <v>1</v>
      </c>
      <c r="E51">
        <v>90</v>
      </c>
      <c r="F51" t="s">
        <v>78</v>
      </c>
    </row>
    <row r="52" spans="1:6" x14ac:dyDescent="0.2">
      <c r="A52" t="str">
        <f t="shared" si="0"/>
        <v>NBI12_U_100</v>
      </c>
      <c r="B52">
        <v>0.5</v>
      </c>
      <c r="C52">
        <v>1</v>
      </c>
      <c r="D52">
        <v>1</v>
      </c>
      <c r="E52">
        <v>100</v>
      </c>
      <c r="F52" t="s">
        <v>78</v>
      </c>
    </row>
    <row r="53" spans="1:6" x14ac:dyDescent="0.2">
      <c r="A53" t="str">
        <f t="shared" si="0"/>
        <v/>
      </c>
    </row>
    <row r="54" spans="1:6" x14ac:dyDescent="0.2">
      <c r="A54" t="str">
        <f t="shared" si="0"/>
        <v>NBI12_Kita_10</v>
      </c>
      <c r="B54">
        <v>1.4</v>
      </c>
      <c r="C54">
        <v>1</v>
      </c>
      <c r="D54">
        <v>1</v>
      </c>
      <c r="E54">
        <v>10</v>
      </c>
      <c r="F54" t="s">
        <v>80</v>
      </c>
    </row>
    <row r="55" spans="1:6" x14ac:dyDescent="0.2">
      <c r="A55" t="str">
        <f t="shared" si="0"/>
        <v>NBI12_Kita_20</v>
      </c>
      <c r="B55">
        <v>1.3</v>
      </c>
      <c r="C55">
        <v>1</v>
      </c>
      <c r="D55">
        <v>1</v>
      </c>
      <c r="E55">
        <v>20</v>
      </c>
      <c r="F55" t="s">
        <v>80</v>
      </c>
    </row>
    <row r="56" spans="1:6" x14ac:dyDescent="0.2">
      <c r="A56" t="str">
        <f t="shared" si="0"/>
        <v>NBI12_Kita_30</v>
      </c>
      <c r="B56">
        <v>1.2</v>
      </c>
      <c r="C56">
        <v>1</v>
      </c>
      <c r="D56">
        <v>1</v>
      </c>
      <c r="E56">
        <v>30</v>
      </c>
      <c r="F56" t="s">
        <v>80</v>
      </c>
    </row>
    <row r="57" spans="1:6" x14ac:dyDescent="0.2">
      <c r="A57" t="str">
        <f t="shared" si="0"/>
        <v>NBI12_Kita_40</v>
      </c>
      <c r="B57">
        <v>1.1000000000000001</v>
      </c>
      <c r="C57">
        <v>1</v>
      </c>
      <c r="D57">
        <v>1</v>
      </c>
      <c r="E57">
        <v>40</v>
      </c>
      <c r="F57" t="s">
        <v>80</v>
      </c>
    </row>
    <row r="58" spans="1:6" x14ac:dyDescent="0.2">
      <c r="A58" t="str">
        <f t="shared" si="0"/>
        <v>NBI12_Kita_50</v>
      </c>
      <c r="B58">
        <v>1</v>
      </c>
      <c r="C58">
        <v>1</v>
      </c>
      <c r="D58">
        <v>1</v>
      </c>
      <c r="E58">
        <v>50</v>
      </c>
      <c r="F58" t="s">
        <v>80</v>
      </c>
    </row>
    <row r="59" spans="1:6" x14ac:dyDescent="0.2">
      <c r="A59" t="str">
        <f t="shared" si="0"/>
        <v>NBI12_Kita_60</v>
      </c>
      <c r="B59">
        <v>0.92</v>
      </c>
      <c r="C59">
        <v>1</v>
      </c>
      <c r="D59">
        <v>1</v>
      </c>
      <c r="E59">
        <v>60</v>
      </c>
      <c r="F59" t="s">
        <v>80</v>
      </c>
    </row>
    <row r="60" spans="1:6" x14ac:dyDescent="0.2">
      <c r="A60" t="str">
        <f t="shared" si="0"/>
        <v>NBI12_Kita_70</v>
      </c>
      <c r="B60">
        <v>0.83</v>
      </c>
      <c r="C60">
        <v>1</v>
      </c>
      <c r="D60">
        <v>1</v>
      </c>
      <c r="E60">
        <v>70</v>
      </c>
      <c r="F60" t="s">
        <v>80</v>
      </c>
    </row>
    <row r="61" spans="1:6" x14ac:dyDescent="0.2">
      <c r="A61" t="str">
        <f t="shared" si="0"/>
        <v>NBI12_Kita_75</v>
      </c>
      <c r="B61">
        <v>0.75</v>
      </c>
      <c r="C61">
        <v>1</v>
      </c>
      <c r="D61">
        <v>1</v>
      </c>
      <c r="E61">
        <v>75</v>
      </c>
      <c r="F61" t="s">
        <v>80</v>
      </c>
    </row>
    <row r="62" spans="1:6" x14ac:dyDescent="0.2">
      <c r="A62" t="str">
        <f t="shared" si="0"/>
        <v>NBI12_Kita_80</v>
      </c>
      <c r="B62">
        <v>0.67</v>
      </c>
      <c r="C62">
        <v>1</v>
      </c>
      <c r="D62">
        <v>1</v>
      </c>
      <c r="E62">
        <v>80</v>
      </c>
      <c r="F62" t="s">
        <v>80</v>
      </c>
    </row>
    <row r="63" spans="1:6" x14ac:dyDescent="0.2">
      <c r="A63" t="str">
        <f t="shared" si="0"/>
        <v>NBI12_Kita_90</v>
      </c>
      <c r="B63">
        <v>0.57999999999999996</v>
      </c>
      <c r="C63">
        <v>1</v>
      </c>
      <c r="D63">
        <v>1</v>
      </c>
      <c r="E63">
        <v>90</v>
      </c>
      <c r="F63" t="s">
        <v>80</v>
      </c>
    </row>
    <row r="64" spans="1:6" x14ac:dyDescent="0.2">
      <c r="A64" t="str">
        <f t="shared" si="0"/>
        <v>NBI12_Kita_100</v>
      </c>
      <c r="B64">
        <v>0.5</v>
      </c>
      <c r="C64">
        <v>1</v>
      </c>
      <c r="D64">
        <v>1</v>
      </c>
      <c r="E64">
        <v>100</v>
      </c>
      <c r="F64" t="s">
        <v>80</v>
      </c>
    </row>
    <row r="65" spans="1:6" x14ac:dyDescent="0.2">
      <c r="A65" t="str">
        <f t="shared" si="0"/>
        <v/>
      </c>
    </row>
    <row r="66" spans="1:6" x14ac:dyDescent="0.2">
      <c r="A66" t="str">
        <f t="shared" si="0"/>
        <v>NWO15_10</v>
      </c>
      <c r="B66">
        <v>1.4</v>
      </c>
      <c r="C66">
        <v>1</v>
      </c>
      <c r="D66">
        <v>1</v>
      </c>
      <c r="E66">
        <v>10</v>
      </c>
      <c r="F66" t="s">
        <v>82</v>
      </c>
    </row>
    <row r="67" spans="1:6" x14ac:dyDescent="0.2">
      <c r="A67" t="str">
        <f t="shared" ref="A67:A130" si="1">IF(F67="","",CONCATENATE(F67,"_",E67))</f>
        <v>NWO15_20</v>
      </c>
      <c r="B67">
        <v>1.3</v>
      </c>
      <c r="C67">
        <v>1</v>
      </c>
      <c r="D67">
        <v>1</v>
      </c>
      <c r="E67">
        <v>20</v>
      </c>
      <c r="F67" t="s">
        <v>82</v>
      </c>
    </row>
    <row r="68" spans="1:6" x14ac:dyDescent="0.2">
      <c r="A68" t="str">
        <f t="shared" si="1"/>
        <v>NWO15_30</v>
      </c>
      <c r="B68">
        <v>1.2</v>
      </c>
      <c r="C68">
        <v>1</v>
      </c>
      <c r="D68">
        <v>1</v>
      </c>
      <c r="E68">
        <v>30</v>
      </c>
      <c r="F68" t="s">
        <v>82</v>
      </c>
    </row>
    <row r="69" spans="1:6" x14ac:dyDescent="0.2">
      <c r="A69" t="str">
        <f t="shared" si="1"/>
        <v>NWO15_40</v>
      </c>
      <c r="B69">
        <v>1.1000000000000001</v>
      </c>
      <c r="C69">
        <v>1</v>
      </c>
      <c r="D69">
        <v>1</v>
      </c>
      <c r="E69">
        <v>40</v>
      </c>
      <c r="F69" t="s">
        <v>82</v>
      </c>
    </row>
    <row r="70" spans="1:6" x14ac:dyDescent="0.2">
      <c r="A70" t="str">
        <f t="shared" si="1"/>
        <v>NWO15_50</v>
      </c>
      <c r="B70">
        <v>1</v>
      </c>
      <c r="C70">
        <v>1</v>
      </c>
      <c r="D70">
        <v>1</v>
      </c>
      <c r="E70">
        <v>50</v>
      </c>
      <c r="F70" t="s">
        <v>82</v>
      </c>
    </row>
    <row r="71" spans="1:6" x14ac:dyDescent="0.2">
      <c r="A71" t="str">
        <f t="shared" si="1"/>
        <v>NWO15_60</v>
      </c>
      <c r="B71">
        <v>0.94</v>
      </c>
      <c r="C71">
        <v>1</v>
      </c>
      <c r="D71">
        <v>1</v>
      </c>
      <c r="E71">
        <v>60</v>
      </c>
      <c r="F71" t="s">
        <v>82</v>
      </c>
    </row>
    <row r="72" spans="1:6" x14ac:dyDescent="0.2">
      <c r="A72" t="str">
        <f t="shared" si="1"/>
        <v>NWO15_70</v>
      </c>
      <c r="B72">
        <v>0.88</v>
      </c>
      <c r="C72">
        <v>1</v>
      </c>
      <c r="D72">
        <v>1</v>
      </c>
      <c r="E72">
        <v>70</v>
      </c>
      <c r="F72" t="s">
        <v>82</v>
      </c>
    </row>
    <row r="73" spans="1:6" x14ac:dyDescent="0.2">
      <c r="A73" t="str">
        <f t="shared" si="1"/>
        <v>NWO15_75</v>
      </c>
      <c r="B73">
        <v>0.85</v>
      </c>
      <c r="C73">
        <v>1</v>
      </c>
      <c r="D73">
        <v>1</v>
      </c>
      <c r="E73">
        <v>75</v>
      </c>
      <c r="F73" t="s">
        <v>82</v>
      </c>
    </row>
    <row r="74" spans="1:6" x14ac:dyDescent="0.2">
      <c r="A74" t="str">
        <f t="shared" si="1"/>
        <v>NWO15_80</v>
      </c>
      <c r="B74">
        <v>0.82</v>
      </c>
      <c r="C74">
        <v>1</v>
      </c>
      <c r="D74">
        <v>1</v>
      </c>
      <c r="E74">
        <v>80</v>
      </c>
      <c r="F74" t="s">
        <v>82</v>
      </c>
    </row>
    <row r="75" spans="1:6" x14ac:dyDescent="0.2">
      <c r="A75" t="str">
        <f t="shared" si="1"/>
        <v>NWO15_90</v>
      </c>
      <c r="B75">
        <v>0.76</v>
      </c>
      <c r="C75">
        <v>1</v>
      </c>
      <c r="D75">
        <v>1</v>
      </c>
      <c r="E75">
        <v>90</v>
      </c>
      <c r="F75" t="s">
        <v>82</v>
      </c>
    </row>
    <row r="76" spans="1:6" x14ac:dyDescent="0.2">
      <c r="A76" t="str">
        <f t="shared" si="1"/>
        <v>NWO15_100</v>
      </c>
      <c r="B76">
        <v>0.7</v>
      </c>
      <c r="C76">
        <v>1</v>
      </c>
      <c r="D76">
        <v>1</v>
      </c>
      <c r="E76">
        <v>100</v>
      </c>
      <c r="F76" t="s">
        <v>82</v>
      </c>
    </row>
    <row r="77" spans="1:6" x14ac:dyDescent="0.2">
      <c r="A77" t="str">
        <f t="shared" si="1"/>
        <v>NWO15_110</v>
      </c>
      <c r="B77">
        <v>0.7</v>
      </c>
      <c r="C77">
        <v>1</v>
      </c>
      <c r="D77">
        <v>0.75</v>
      </c>
      <c r="E77">
        <v>110</v>
      </c>
      <c r="F77" t="s">
        <v>82</v>
      </c>
    </row>
    <row r="78" spans="1:6" x14ac:dyDescent="0.2">
      <c r="A78" t="str">
        <f t="shared" si="1"/>
        <v>NWO15_120</v>
      </c>
      <c r="B78">
        <v>0.7</v>
      </c>
      <c r="C78">
        <v>1</v>
      </c>
      <c r="D78">
        <v>0.5</v>
      </c>
      <c r="E78">
        <v>120</v>
      </c>
      <c r="F78" t="s">
        <v>82</v>
      </c>
    </row>
    <row r="79" spans="1:6" x14ac:dyDescent="0.2">
      <c r="A79" t="str">
        <f t="shared" si="1"/>
        <v/>
      </c>
    </row>
    <row r="80" spans="1:6" x14ac:dyDescent="0.2">
      <c r="A80" t="str">
        <f t="shared" si="1"/>
        <v>NWO12_U_10</v>
      </c>
      <c r="B80">
        <v>1.4</v>
      </c>
      <c r="C80">
        <v>1</v>
      </c>
      <c r="D80">
        <v>1</v>
      </c>
      <c r="E80">
        <v>10</v>
      </c>
      <c r="F80" t="s">
        <v>83</v>
      </c>
    </row>
    <row r="81" spans="1:6" x14ac:dyDescent="0.2">
      <c r="A81" t="str">
        <f t="shared" si="1"/>
        <v>NWO12_U_20</v>
      </c>
      <c r="B81">
        <v>1.3</v>
      </c>
      <c r="C81">
        <v>1</v>
      </c>
      <c r="D81">
        <v>1</v>
      </c>
      <c r="E81">
        <v>20</v>
      </c>
      <c r="F81" t="s">
        <v>83</v>
      </c>
    </row>
    <row r="82" spans="1:6" x14ac:dyDescent="0.2">
      <c r="A82" t="str">
        <f t="shared" si="1"/>
        <v>NWO12_U_30</v>
      </c>
      <c r="B82">
        <v>1.2</v>
      </c>
      <c r="C82">
        <v>1</v>
      </c>
      <c r="D82">
        <v>1</v>
      </c>
      <c r="E82">
        <v>30</v>
      </c>
      <c r="F82" t="s">
        <v>83</v>
      </c>
    </row>
    <row r="83" spans="1:6" x14ac:dyDescent="0.2">
      <c r="A83" t="str">
        <f t="shared" si="1"/>
        <v>NWO12_U_40</v>
      </c>
      <c r="B83">
        <v>1.1000000000000001</v>
      </c>
      <c r="C83">
        <v>1</v>
      </c>
      <c r="D83">
        <v>1</v>
      </c>
      <c r="E83">
        <v>40</v>
      </c>
      <c r="F83" t="s">
        <v>83</v>
      </c>
    </row>
    <row r="84" spans="1:6" x14ac:dyDescent="0.2">
      <c r="A84" t="str">
        <f t="shared" si="1"/>
        <v>NWO12_U_50</v>
      </c>
      <c r="B84">
        <v>1</v>
      </c>
      <c r="C84">
        <v>1</v>
      </c>
      <c r="D84">
        <v>1</v>
      </c>
      <c r="E84">
        <v>50</v>
      </c>
      <c r="F84" t="s">
        <v>83</v>
      </c>
    </row>
    <row r="85" spans="1:6" x14ac:dyDescent="0.2">
      <c r="A85" t="str">
        <f t="shared" si="1"/>
        <v>NWO12_U_60</v>
      </c>
      <c r="B85">
        <v>0.94</v>
      </c>
      <c r="C85">
        <v>1</v>
      </c>
      <c r="D85">
        <v>1</v>
      </c>
      <c r="E85">
        <v>60</v>
      </c>
      <c r="F85" t="s">
        <v>83</v>
      </c>
    </row>
    <row r="86" spans="1:6" x14ac:dyDescent="0.2">
      <c r="A86" t="str">
        <f t="shared" si="1"/>
        <v>NWO12_U_70</v>
      </c>
      <c r="B86">
        <v>0.88</v>
      </c>
      <c r="C86">
        <v>1</v>
      </c>
      <c r="D86">
        <v>1</v>
      </c>
      <c r="E86">
        <v>70</v>
      </c>
      <c r="F86" t="s">
        <v>83</v>
      </c>
    </row>
    <row r="87" spans="1:6" x14ac:dyDescent="0.2">
      <c r="A87" t="str">
        <f t="shared" si="1"/>
        <v>NWO12_U_75</v>
      </c>
      <c r="B87">
        <v>0.85</v>
      </c>
      <c r="C87">
        <v>1</v>
      </c>
      <c r="D87">
        <v>1</v>
      </c>
      <c r="E87">
        <v>75</v>
      </c>
      <c r="F87" t="s">
        <v>83</v>
      </c>
    </row>
    <row r="88" spans="1:6" x14ac:dyDescent="0.2">
      <c r="A88" t="str">
        <f t="shared" si="1"/>
        <v>NWO12_U_80</v>
      </c>
      <c r="B88">
        <v>0.82</v>
      </c>
      <c r="C88">
        <v>1</v>
      </c>
      <c r="D88">
        <v>1</v>
      </c>
      <c r="E88">
        <v>80</v>
      </c>
      <c r="F88" t="s">
        <v>83</v>
      </c>
    </row>
    <row r="89" spans="1:6" x14ac:dyDescent="0.2">
      <c r="A89" t="str">
        <f t="shared" si="1"/>
        <v>NWO12_U_90</v>
      </c>
      <c r="B89">
        <v>0.76</v>
      </c>
      <c r="C89">
        <v>1</v>
      </c>
      <c r="D89">
        <v>1</v>
      </c>
      <c r="E89">
        <v>90</v>
      </c>
      <c r="F89" t="s">
        <v>83</v>
      </c>
    </row>
    <row r="90" spans="1:6" x14ac:dyDescent="0.2">
      <c r="A90" t="str">
        <f t="shared" si="1"/>
        <v>NWO12_U_100</v>
      </c>
      <c r="B90">
        <v>0.7</v>
      </c>
      <c r="C90">
        <v>1</v>
      </c>
      <c r="D90">
        <v>1</v>
      </c>
      <c r="E90">
        <v>100</v>
      </c>
      <c r="F90" t="s">
        <v>83</v>
      </c>
    </row>
    <row r="91" spans="1:6" x14ac:dyDescent="0.2">
      <c r="A91" t="str">
        <f t="shared" si="1"/>
        <v/>
      </c>
    </row>
    <row r="92" spans="1:6" x14ac:dyDescent="0.2">
      <c r="A92" t="str">
        <f t="shared" si="1"/>
        <v>NKW13_10</v>
      </c>
      <c r="B92">
        <v>1.4</v>
      </c>
      <c r="C92">
        <v>1</v>
      </c>
      <c r="D92">
        <v>1</v>
      </c>
      <c r="E92">
        <v>10</v>
      </c>
      <c r="F92" t="s">
        <v>84</v>
      </c>
    </row>
    <row r="93" spans="1:6" x14ac:dyDescent="0.2">
      <c r="A93" t="str">
        <f t="shared" si="1"/>
        <v>NKW13_20</v>
      </c>
      <c r="B93">
        <v>1.3</v>
      </c>
      <c r="C93">
        <v>1</v>
      </c>
      <c r="D93">
        <v>1</v>
      </c>
      <c r="E93">
        <v>20</v>
      </c>
      <c r="F93" t="s">
        <v>84</v>
      </c>
    </row>
    <row r="94" spans="1:6" x14ac:dyDescent="0.2">
      <c r="A94" t="str">
        <f t="shared" si="1"/>
        <v>NKW13_30</v>
      </c>
      <c r="B94">
        <v>1.2</v>
      </c>
      <c r="C94">
        <v>1</v>
      </c>
      <c r="D94">
        <v>1</v>
      </c>
      <c r="E94">
        <v>30</v>
      </c>
      <c r="F94" t="s">
        <v>84</v>
      </c>
    </row>
    <row r="95" spans="1:6" x14ac:dyDescent="0.2">
      <c r="A95" t="str">
        <f t="shared" si="1"/>
        <v>NKW13_40</v>
      </c>
      <c r="B95">
        <v>1.1000000000000001</v>
      </c>
      <c r="C95">
        <v>1</v>
      </c>
      <c r="D95">
        <v>1</v>
      </c>
      <c r="E95">
        <v>40</v>
      </c>
      <c r="F95" t="s">
        <v>84</v>
      </c>
    </row>
    <row r="96" spans="1:6" x14ac:dyDescent="0.2">
      <c r="A96" t="str">
        <f t="shared" si="1"/>
        <v>NKW13_50</v>
      </c>
      <c r="B96">
        <v>1</v>
      </c>
      <c r="C96">
        <v>1</v>
      </c>
      <c r="D96">
        <v>1</v>
      </c>
      <c r="E96">
        <v>50</v>
      </c>
      <c r="F96" t="s">
        <v>84</v>
      </c>
    </row>
    <row r="97" spans="1:6" x14ac:dyDescent="0.2">
      <c r="A97" t="str">
        <f t="shared" si="1"/>
        <v>NKW13_60</v>
      </c>
      <c r="B97">
        <v>0.94</v>
      </c>
      <c r="C97">
        <v>1</v>
      </c>
      <c r="D97">
        <v>1</v>
      </c>
      <c r="E97">
        <v>60</v>
      </c>
      <c r="F97" t="s">
        <v>84</v>
      </c>
    </row>
    <row r="98" spans="1:6" x14ac:dyDescent="0.2">
      <c r="A98" t="str">
        <f t="shared" si="1"/>
        <v>NKW13_70</v>
      </c>
      <c r="B98">
        <v>0.88</v>
      </c>
      <c r="C98">
        <v>1</v>
      </c>
      <c r="D98">
        <v>1</v>
      </c>
      <c r="E98">
        <v>70</v>
      </c>
      <c r="F98" t="s">
        <v>84</v>
      </c>
    </row>
    <row r="99" spans="1:6" x14ac:dyDescent="0.2">
      <c r="A99" t="str">
        <f t="shared" si="1"/>
        <v>NKW13_75</v>
      </c>
      <c r="B99">
        <v>0.85</v>
      </c>
      <c r="C99">
        <v>1</v>
      </c>
      <c r="D99">
        <v>1</v>
      </c>
      <c r="E99">
        <v>75</v>
      </c>
      <c r="F99" t="s">
        <v>84</v>
      </c>
    </row>
    <row r="100" spans="1:6" x14ac:dyDescent="0.2">
      <c r="A100" t="str">
        <f t="shared" si="1"/>
        <v>NKW13_80</v>
      </c>
      <c r="B100">
        <v>0.82</v>
      </c>
      <c r="C100">
        <v>1</v>
      </c>
      <c r="D100">
        <v>1</v>
      </c>
      <c r="E100">
        <v>80</v>
      </c>
      <c r="F100" t="s">
        <v>84</v>
      </c>
    </row>
    <row r="101" spans="1:6" x14ac:dyDescent="0.2">
      <c r="A101" t="str">
        <f t="shared" si="1"/>
        <v>NKW13_90</v>
      </c>
      <c r="B101">
        <v>0.76</v>
      </c>
      <c r="C101">
        <v>1</v>
      </c>
      <c r="D101">
        <v>1</v>
      </c>
      <c r="E101">
        <v>90</v>
      </c>
      <c r="F101" t="s">
        <v>84</v>
      </c>
    </row>
    <row r="102" spans="1:6" x14ac:dyDescent="0.2">
      <c r="A102" t="str">
        <f t="shared" si="1"/>
        <v>NKW13_100</v>
      </c>
      <c r="B102">
        <v>0.7</v>
      </c>
      <c r="C102">
        <v>1</v>
      </c>
      <c r="D102">
        <v>1</v>
      </c>
      <c r="E102">
        <v>100</v>
      </c>
      <c r="F102" t="s">
        <v>84</v>
      </c>
    </row>
    <row r="103" spans="1:6" x14ac:dyDescent="0.2">
      <c r="A103" t="str">
        <f t="shared" si="1"/>
        <v/>
      </c>
    </row>
    <row r="104" spans="1:6" x14ac:dyDescent="0.2">
      <c r="A104" t="str">
        <f t="shared" si="1"/>
        <v>NGH15_10</v>
      </c>
      <c r="B104">
        <v>1.4</v>
      </c>
      <c r="C104">
        <v>1</v>
      </c>
      <c r="D104">
        <v>1</v>
      </c>
      <c r="E104">
        <v>10</v>
      </c>
      <c r="F104" t="s">
        <v>85</v>
      </c>
    </row>
    <row r="105" spans="1:6" x14ac:dyDescent="0.2">
      <c r="A105" t="str">
        <f t="shared" si="1"/>
        <v>NGH15_20</v>
      </c>
      <c r="B105">
        <v>1.3</v>
      </c>
      <c r="C105">
        <v>1</v>
      </c>
      <c r="D105">
        <v>1</v>
      </c>
      <c r="E105">
        <v>20</v>
      </c>
      <c r="F105" t="s">
        <v>85</v>
      </c>
    </row>
    <row r="106" spans="1:6" x14ac:dyDescent="0.2">
      <c r="A106" t="str">
        <f t="shared" si="1"/>
        <v>NGH15_30</v>
      </c>
      <c r="B106">
        <v>1.2</v>
      </c>
      <c r="C106">
        <v>1</v>
      </c>
      <c r="D106">
        <v>1</v>
      </c>
      <c r="E106">
        <v>30</v>
      </c>
      <c r="F106" t="s">
        <v>85</v>
      </c>
    </row>
    <row r="107" spans="1:6" x14ac:dyDescent="0.2">
      <c r="A107" t="str">
        <f t="shared" si="1"/>
        <v>NGH15_40</v>
      </c>
      <c r="B107">
        <v>1.1000000000000001</v>
      </c>
      <c r="C107">
        <v>1</v>
      </c>
      <c r="D107">
        <v>1</v>
      </c>
      <c r="E107">
        <v>40</v>
      </c>
      <c r="F107" t="s">
        <v>85</v>
      </c>
    </row>
    <row r="108" spans="1:6" x14ac:dyDescent="0.2">
      <c r="A108" t="str">
        <f t="shared" si="1"/>
        <v>NGH15_50</v>
      </c>
      <c r="B108">
        <v>1</v>
      </c>
      <c r="C108">
        <v>1</v>
      </c>
      <c r="D108">
        <v>1</v>
      </c>
      <c r="E108">
        <v>50</v>
      </c>
      <c r="F108" t="s">
        <v>85</v>
      </c>
    </row>
    <row r="109" spans="1:6" x14ac:dyDescent="0.2">
      <c r="A109" t="str">
        <f t="shared" si="1"/>
        <v>NGH15_60</v>
      </c>
      <c r="B109">
        <v>0.94</v>
      </c>
      <c r="C109">
        <v>1</v>
      </c>
      <c r="D109">
        <v>1</v>
      </c>
      <c r="E109">
        <v>60</v>
      </c>
      <c r="F109" t="s">
        <v>85</v>
      </c>
    </row>
    <row r="110" spans="1:6" x14ac:dyDescent="0.2">
      <c r="A110" t="str">
        <f t="shared" si="1"/>
        <v>NGH15_70</v>
      </c>
      <c r="B110">
        <v>0.88</v>
      </c>
      <c r="C110">
        <v>1</v>
      </c>
      <c r="D110">
        <v>1</v>
      </c>
      <c r="E110">
        <v>70</v>
      </c>
      <c r="F110" t="s">
        <v>85</v>
      </c>
    </row>
    <row r="111" spans="1:6" x14ac:dyDescent="0.2">
      <c r="A111" t="str">
        <f t="shared" si="1"/>
        <v>NGH15_75</v>
      </c>
      <c r="B111">
        <v>0.85</v>
      </c>
      <c r="C111">
        <v>1</v>
      </c>
      <c r="D111">
        <v>1</v>
      </c>
      <c r="E111">
        <v>75</v>
      </c>
      <c r="F111" t="s">
        <v>85</v>
      </c>
    </row>
    <row r="112" spans="1:6" x14ac:dyDescent="0.2">
      <c r="A112" t="str">
        <f t="shared" si="1"/>
        <v>NGH15_80</v>
      </c>
      <c r="B112">
        <v>0.82</v>
      </c>
      <c r="C112">
        <v>1</v>
      </c>
      <c r="D112">
        <v>1</v>
      </c>
      <c r="E112">
        <v>80</v>
      </c>
      <c r="F112" t="s">
        <v>85</v>
      </c>
    </row>
    <row r="113" spans="1:6" x14ac:dyDescent="0.2">
      <c r="A113" t="str">
        <f t="shared" si="1"/>
        <v>NGH15_90</v>
      </c>
      <c r="B113">
        <v>0.76</v>
      </c>
      <c r="C113">
        <v>1</v>
      </c>
      <c r="D113">
        <v>1</v>
      </c>
      <c r="E113">
        <v>90</v>
      </c>
      <c r="F113" t="s">
        <v>85</v>
      </c>
    </row>
    <row r="114" spans="1:6" x14ac:dyDescent="0.2">
      <c r="A114" t="str">
        <f t="shared" si="1"/>
        <v>NGH15_100</v>
      </c>
      <c r="B114">
        <v>0.7</v>
      </c>
      <c r="C114">
        <v>1</v>
      </c>
      <c r="D114">
        <v>1</v>
      </c>
      <c r="E114">
        <v>100</v>
      </c>
      <c r="F114" t="s">
        <v>85</v>
      </c>
    </row>
    <row r="115" spans="1:6" x14ac:dyDescent="0.2">
      <c r="A115" t="str">
        <f t="shared" si="1"/>
        <v>NGH15_110</v>
      </c>
      <c r="B115">
        <v>0.7</v>
      </c>
      <c r="C115">
        <v>1</v>
      </c>
      <c r="D115">
        <v>0.75</v>
      </c>
      <c r="E115">
        <v>110</v>
      </c>
      <c r="F115" t="s">
        <v>85</v>
      </c>
    </row>
    <row r="116" spans="1:6" x14ac:dyDescent="0.2">
      <c r="A116" t="str">
        <f t="shared" si="1"/>
        <v>NGH15_120</v>
      </c>
      <c r="B116">
        <v>0.7</v>
      </c>
      <c r="C116">
        <v>1</v>
      </c>
      <c r="D116">
        <v>0.5</v>
      </c>
      <c r="E116">
        <v>120</v>
      </c>
      <c r="F116" t="s">
        <v>85</v>
      </c>
    </row>
    <row r="117" spans="1:6" x14ac:dyDescent="0.2">
      <c r="A117" t="str">
        <f t="shared" si="1"/>
        <v/>
      </c>
    </row>
    <row r="118" spans="1:6" x14ac:dyDescent="0.2">
      <c r="A118" t="str">
        <f t="shared" si="1"/>
        <v>NSC15_10</v>
      </c>
      <c r="B118">
        <v>1.4</v>
      </c>
      <c r="C118">
        <v>1</v>
      </c>
      <c r="D118">
        <v>1</v>
      </c>
      <c r="E118">
        <v>10</v>
      </c>
      <c r="F118" t="s">
        <v>86</v>
      </c>
    </row>
    <row r="119" spans="1:6" x14ac:dyDescent="0.2">
      <c r="A119" t="str">
        <f t="shared" si="1"/>
        <v>NSC15_20</v>
      </c>
      <c r="B119">
        <v>1.3</v>
      </c>
      <c r="C119">
        <v>1</v>
      </c>
      <c r="D119">
        <v>1</v>
      </c>
      <c r="E119">
        <v>20</v>
      </c>
      <c r="F119" t="s">
        <v>86</v>
      </c>
    </row>
    <row r="120" spans="1:6" x14ac:dyDescent="0.2">
      <c r="A120" t="str">
        <f t="shared" si="1"/>
        <v>NSC15_30</v>
      </c>
      <c r="B120">
        <v>1.2</v>
      </c>
      <c r="C120">
        <v>1</v>
      </c>
      <c r="D120">
        <v>1</v>
      </c>
      <c r="E120">
        <v>30</v>
      </c>
      <c r="F120" t="s">
        <v>86</v>
      </c>
    </row>
    <row r="121" spans="1:6" x14ac:dyDescent="0.2">
      <c r="A121" t="str">
        <f t="shared" si="1"/>
        <v>NSC15_40</v>
      </c>
      <c r="B121">
        <v>1.1000000000000001</v>
      </c>
      <c r="C121">
        <v>1</v>
      </c>
      <c r="D121">
        <v>1</v>
      </c>
      <c r="E121">
        <v>40</v>
      </c>
      <c r="F121" t="s">
        <v>86</v>
      </c>
    </row>
    <row r="122" spans="1:6" x14ac:dyDescent="0.2">
      <c r="A122" t="str">
        <f t="shared" si="1"/>
        <v>NSC15_50</v>
      </c>
      <c r="B122">
        <v>1</v>
      </c>
      <c r="C122">
        <v>1</v>
      </c>
      <c r="D122">
        <v>1</v>
      </c>
      <c r="E122">
        <v>50</v>
      </c>
      <c r="F122" t="s">
        <v>86</v>
      </c>
    </row>
    <row r="123" spans="1:6" x14ac:dyDescent="0.2">
      <c r="A123" t="str">
        <f t="shared" si="1"/>
        <v>NSC15_60</v>
      </c>
      <c r="B123">
        <v>0.94</v>
      </c>
      <c r="C123">
        <v>1</v>
      </c>
      <c r="D123">
        <v>1</v>
      </c>
      <c r="E123">
        <v>60</v>
      </c>
      <c r="F123" t="s">
        <v>86</v>
      </c>
    </row>
    <row r="124" spans="1:6" x14ac:dyDescent="0.2">
      <c r="A124" t="str">
        <f t="shared" si="1"/>
        <v>NSC15_70</v>
      </c>
      <c r="B124">
        <v>0.88</v>
      </c>
      <c r="C124">
        <v>1</v>
      </c>
      <c r="D124">
        <v>1</v>
      </c>
      <c r="E124">
        <v>70</v>
      </c>
      <c r="F124" t="s">
        <v>86</v>
      </c>
    </row>
    <row r="125" spans="1:6" x14ac:dyDescent="0.2">
      <c r="A125" t="str">
        <f t="shared" si="1"/>
        <v>NSC15_75</v>
      </c>
      <c r="B125">
        <v>0.85</v>
      </c>
      <c r="C125">
        <v>1</v>
      </c>
      <c r="D125">
        <v>1</v>
      </c>
      <c r="E125">
        <v>75</v>
      </c>
      <c r="F125" t="s">
        <v>86</v>
      </c>
    </row>
    <row r="126" spans="1:6" x14ac:dyDescent="0.2">
      <c r="A126" t="str">
        <f t="shared" si="1"/>
        <v>NSC15_80</v>
      </c>
      <c r="B126">
        <v>0.82</v>
      </c>
      <c r="C126">
        <v>1</v>
      </c>
      <c r="D126">
        <v>1</v>
      </c>
      <c r="E126">
        <v>80</v>
      </c>
      <c r="F126" t="s">
        <v>86</v>
      </c>
    </row>
    <row r="127" spans="1:6" x14ac:dyDescent="0.2">
      <c r="A127" t="str">
        <f t="shared" si="1"/>
        <v>NSC15_90</v>
      </c>
      <c r="B127">
        <v>0.76</v>
      </c>
      <c r="C127">
        <v>1</v>
      </c>
      <c r="D127">
        <v>1</v>
      </c>
      <c r="E127">
        <v>90</v>
      </c>
      <c r="F127" t="s">
        <v>86</v>
      </c>
    </row>
    <row r="128" spans="1:6" x14ac:dyDescent="0.2">
      <c r="A128" t="str">
        <f t="shared" si="1"/>
        <v>NSC15_100</v>
      </c>
      <c r="B128">
        <v>0.7</v>
      </c>
      <c r="C128">
        <v>1</v>
      </c>
      <c r="D128">
        <v>1</v>
      </c>
      <c r="E128">
        <v>100</v>
      </c>
      <c r="F128" t="s">
        <v>86</v>
      </c>
    </row>
    <row r="129" spans="1:6" x14ac:dyDescent="0.2">
      <c r="A129" t="str">
        <f t="shared" si="1"/>
        <v>NSC15_110</v>
      </c>
      <c r="B129">
        <v>0.7</v>
      </c>
      <c r="C129">
        <v>1</v>
      </c>
      <c r="D129">
        <v>0.75</v>
      </c>
      <c r="E129">
        <v>110</v>
      </c>
      <c r="F129" t="s">
        <v>86</v>
      </c>
    </row>
    <row r="130" spans="1:6" x14ac:dyDescent="0.2">
      <c r="A130" t="str">
        <f t="shared" si="1"/>
        <v>NSC15_120</v>
      </c>
      <c r="B130">
        <v>0.7</v>
      </c>
      <c r="C130">
        <v>1</v>
      </c>
      <c r="D130">
        <v>0.5</v>
      </c>
      <c r="E130">
        <v>120</v>
      </c>
      <c r="F130" t="s">
        <v>86</v>
      </c>
    </row>
    <row r="131" spans="1:6" x14ac:dyDescent="0.2">
      <c r="A131" t="str">
        <f t="shared" ref="A131:A194" si="2">IF(F131="","",CONCATENATE(F131,"_",E131))</f>
        <v/>
      </c>
    </row>
    <row r="132" spans="1:6" x14ac:dyDescent="0.2">
      <c r="A132" t="str">
        <f t="shared" si="2"/>
        <v>NVM15_10</v>
      </c>
      <c r="B132">
        <v>1.4</v>
      </c>
      <c r="C132">
        <v>1</v>
      </c>
      <c r="D132">
        <v>1</v>
      </c>
      <c r="E132">
        <v>10</v>
      </c>
      <c r="F132" t="s">
        <v>87</v>
      </c>
    </row>
    <row r="133" spans="1:6" x14ac:dyDescent="0.2">
      <c r="A133" t="str">
        <f t="shared" si="2"/>
        <v>NVM15_20</v>
      </c>
      <c r="B133">
        <v>1.3</v>
      </c>
      <c r="C133">
        <v>1</v>
      </c>
      <c r="D133">
        <v>1</v>
      </c>
      <c r="E133">
        <v>20</v>
      </c>
      <c r="F133" t="s">
        <v>87</v>
      </c>
    </row>
    <row r="134" spans="1:6" x14ac:dyDescent="0.2">
      <c r="A134" t="str">
        <f t="shared" si="2"/>
        <v>NVM15_30</v>
      </c>
      <c r="B134">
        <v>1.2</v>
      </c>
      <c r="C134">
        <v>1</v>
      </c>
      <c r="D134">
        <v>1</v>
      </c>
      <c r="E134">
        <v>30</v>
      </c>
      <c r="F134" t="s">
        <v>87</v>
      </c>
    </row>
    <row r="135" spans="1:6" x14ac:dyDescent="0.2">
      <c r="A135" t="str">
        <f t="shared" si="2"/>
        <v>NVM15_40</v>
      </c>
      <c r="B135">
        <v>1.1000000000000001</v>
      </c>
      <c r="C135">
        <v>1</v>
      </c>
      <c r="D135">
        <v>1</v>
      </c>
      <c r="E135">
        <v>40</v>
      </c>
      <c r="F135" t="s">
        <v>87</v>
      </c>
    </row>
    <row r="136" spans="1:6" x14ac:dyDescent="0.2">
      <c r="A136" t="str">
        <f t="shared" si="2"/>
        <v>NVM15_50</v>
      </c>
      <c r="B136">
        <v>1</v>
      </c>
      <c r="C136">
        <v>1</v>
      </c>
      <c r="D136">
        <v>1</v>
      </c>
      <c r="E136">
        <v>50</v>
      </c>
      <c r="F136" t="s">
        <v>87</v>
      </c>
    </row>
    <row r="137" spans="1:6" x14ac:dyDescent="0.2">
      <c r="A137" t="str">
        <f t="shared" si="2"/>
        <v>NVM15_60</v>
      </c>
      <c r="B137">
        <v>0.94</v>
      </c>
      <c r="C137">
        <v>1</v>
      </c>
      <c r="D137">
        <v>1</v>
      </c>
      <c r="E137">
        <v>60</v>
      </c>
      <c r="F137" t="s">
        <v>87</v>
      </c>
    </row>
    <row r="138" spans="1:6" x14ac:dyDescent="0.2">
      <c r="A138" t="str">
        <f t="shared" si="2"/>
        <v>NVM15_70</v>
      </c>
      <c r="B138">
        <v>0.88</v>
      </c>
      <c r="C138">
        <v>1</v>
      </c>
      <c r="D138">
        <v>1</v>
      </c>
      <c r="E138">
        <v>70</v>
      </c>
      <c r="F138" t="s">
        <v>87</v>
      </c>
    </row>
    <row r="139" spans="1:6" x14ac:dyDescent="0.2">
      <c r="A139" t="str">
        <f t="shared" si="2"/>
        <v>NVM15_75</v>
      </c>
      <c r="B139">
        <v>0.85</v>
      </c>
      <c r="C139">
        <v>1</v>
      </c>
      <c r="D139">
        <v>1</v>
      </c>
      <c r="E139">
        <v>75</v>
      </c>
      <c r="F139" t="s">
        <v>87</v>
      </c>
    </row>
    <row r="140" spans="1:6" x14ac:dyDescent="0.2">
      <c r="A140" t="str">
        <f t="shared" si="2"/>
        <v>NVM15_80</v>
      </c>
      <c r="B140">
        <v>0.82</v>
      </c>
      <c r="C140">
        <v>1</v>
      </c>
      <c r="D140">
        <v>1</v>
      </c>
      <c r="E140">
        <v>80</v>
      </c>
      <c r="F140" t="s">
        <v>87</v>
      </c>
    </row>
    <row r="141" spans="1:6" x14ac:dyDescent="0.2">
      <c r="A141" t="str">
        <f t="shared" si="2"/>
        <v>NVM15_90</v>
      </c>
      <c r="B141">
        <v>0.76</v>
      </c>
      <c r="C141">
        <v>1</v>
      </c>
      <c r="D141">
        <v>1</v>
      </c>
      <c r="E141">
        <v>90</v>
      </c>
      <c r="F141" t="s">
        <v>87</v>
      </c>
    </row>
    <row r="142" spans="1:6" x14ac:dyDescent="0.2">
      <c r="A142" t="str">
        <f t="shared" si="2"/>
        <v>NVM15_100</v>
      </c>
      <c r="B142">
        <v>0.7</v>
      </c>
      <c r="C142">
        <v>1</v>
      </c>
      <c r="D142">
        <v>1</v>
      </c>
      <c r="E142">
        <v>100</v>
      </c>
      <c r="F142" t="s">
        <v>87</v>
      </c>
    </row>
    <row r="143" spans="1:6" x14ac:dyDescent="0.2">
      <c r="A143" t="str">
        <f t="shared" si="2"/>
        <v>NVM15_110</v>
      </c>
      <c r="B143">
        <v>0.7</v>
      </c>
      <c r="C143">
        <v>1</v>
      </c>
      <c r="D143">
        <v>0.75</v>
      </c>
      <c r="E143">
        <v>110</v>
      </c>
      <c r="F143" t="s">
        <v>87</v>
      </c>
    </row>
    <row r="144" spans="1:6" x14ac:dyDescent="0.2">
      <c r="A144" t="str">
        <f t="shared" si="2"/>
        <v>NVM15_120</v>
      </c>
      <c r="B144">
        <v>0.7</v>
      </c>
      <c r="C144">
        <v>1</v>
      </c>
      <c r="D144">
        <v>0.5</v>
      </c>
      <c r="E144">
        <v>120</v>
      </c>
      <c r="F144" t="s">
        <v>87</v>
      </c>
    </row>
    <row r="145" spans="1:6" x14ac:dyDescent="0.2">
      <c r="A145" t="str">
        <f t="shared" si="2"/>
        <v/>
      </c>
    </row>
    <row r="146" spans="1:6" x14ac:dyDescent="0.2">
      <c r="A146" t="str">
        <f t="shared" si="2"/>
        <v>NHA13_Typ4_10</v>
      </c>
      <c r="B146">
        <v>1.4</v>
      </c>
      <c r="C146">
        <v>1</v>
      </c>
      <c r="D146">
        <v>1</v>
      </c>
      <c r="E146">
        <v>10</v>
      </c>
      <c r="F146" t="s">
        <v>88</v>
      </c>
    </row>
    <row r="147" spans="1:6" x14ac:dyDescent="0.2">
      <c r="A147" t="str">
        <f t="shared" si="2"/>
        <v>NHA13_Typ4_20</v>
      </c>
      <c r="B147">
        <v>1.3</v>
      </c>
      <c r="C147">
        <v>1</v>
      </c>
      <c r="D147">
        <v>1</v>
      </c>
      <c r="E147">
        <v>20</v>
      </c>
      <c r="F147" t="s">
        <v>88</v>
      </c>
    </row>
    <row r="148" spans="1:6" x14ac:dyDescent="0.2">
      <c r="A148" t="str">
        <f t="shared" si="2"/>
        <v>NHA13_Typ4_30</v>
      </c>
      <c r="B148">
        <v>1.2</v>
      </c>
      <c r="C148">
        <v>1</v>
      </c>
      <c r="D148">
        <v>1</v>
      </c>
      <c r="E148">
        <v>30</v>
      </c>
      <c r="F148" t="s">
        <v>88</v>
      </c>
    </row>
    <row r="149" spans="1:6" x14ac:dyDescent="0.2">
      <c r="A149" t="str">
        <f t="shared" si="2"/>
        <v>NHA13_Typ4_40</v>
      </c>
      <c r="B149">
        <v>1.1000000000000001</v>
      </c>
      <c r="C149">
        <v>1</v>
      </c>
      <c r="D149">
        <v>1</v>
      </c>
      <c r="E149">
        <v>40</v>
      </c>
      <c r="F149" t="s">
        <v>88</v>
      </c>
    </row>
    <row r="150" spans="1:6" x14ac:dyDescent="0.2">
      <c r="A150" t="str">
        <f t="shared" si="2"/>
        <v>NHA13_Typ4_50</v>
      </c>
      <c r="B150">
        <v>1</v>
      </c>
      <c r="C150">
        <v>1</v>
      </c>
      <c r="D150">
        <v>1</v>
      </c>
      <c r="E150">
        <v>50</v>
      </c>
      <c r="F150" t="s">
        <v>88</v>
      </c>
    </row>
    <row r="151" spans="1:6" x14ac:dyDescent="0.2">
      <c r="A151" t="str">
        <f t="shared" si="2"/>
        <v>NHA13_Typ4_60</v>
      </c>
      <c r="B151">
        <v>0.94</v>
      </c>
      <c r="C151">
        <v>1</v>
      </c>
      <c r="D151">
        <v>1</v>
      </c>
      <c r="E151">
        <v>60</v>
      </c>
      <c r="F151" t="s">
        <v>88</v>
      </c>
    </row>
    <row r="152" spans="1:6" x14ac:dyDescent="0.2">
      <c r="A152" t="str">
        <f t="shared" si="2"/>
        <v>NHA13_Typ4_70</v>
      </c>
      <c r="B152">
        <v>0.88</v>
      </c>
      <c r="C152">
        <v>1</v>
      </c>
      <c r="D152">
        <v>1</v>
      </c>
      <c r="E152">
        <v>70</v>
      </c>
      <c r="F152" t="s">
        <v>88</v>
      </c>
    </row>
    <row r="153" spans="1:6" x14ac:dyDescent="0.2">
      <c r="A153" t="str">
        <f t="shared" si="2"/>
        <v>NHA13_Typ4_75</v>
      </c>
      <c r="B153">
        <v>0.85</v>
      </c>
      <c r="C153">
        <v>1</v>
      </c>
      <c r="D153">
        <v>1</v>
      </c>
      <c r="E153">
        <v>75</v>
      </c>
      <c r="F153" t="s">
        <v>88</v>
      </c>
    </row>
    <row r="154" spans="1:6" x14ac:dyDescent="0.2">
      <c r="A154" t="str">
        <f t="shared" si="2"/>
        <v>NHA13_Typ4_80</v>
      </c>
      <c r="B154">
        <v>0.82</v>
      </c>
      <c r="C154">
        <v>1</v>
      </c>
      <c r="D154">
        <v>1</v>
      </c>
      <c r="E154">
        <v>80</v>
      </c>
      <c r="F154" t="s">
        <v>88</v>
      </c>
    </row>
    <row r="155" spans="1:6" x14ac:dyDescent="0.2">
      <c r="A155" t="str">
        <f t="shared" si="2"/>
        <v>NHA13_Typ4_90</v>
      </c>
      <c r="B155">
        <v>0.76</v>
      </c>
      <c r="C155">
        <v>1</v>
      </c>
      <c r="D155">
        <v>1</v>
      </c>
      <c r="E155">
        <v>90</v>
      </c>
      <c r="F155" t="s">
        <v>88</v>
      </c>
    </row>
    <row r="156" spans="1:6" x14ac:dyDescent="0.2">
      <c r="A156" t="str">
        <f t="shared" si="2"/>
        <v>NHA13_Typ4_100</v>
      </c>
      <c r="B156">
        <v>0.7</v>
      </c>
      <c r="C156">
        <v>1</v>
      </c>
      <c r="D156">
        <v>1</v>
      </c>
      <c r="E156">
        <v>100</v>
      </c>
      <c r="F156" t="s">
        <v>88</v>
      </c>
    </row>
    <row r="157" spans="1:6" x14ac:dyDescent="0.2">
      <c r="A157" t="str">
        <f t="shared" si="2"/>
        <v/>
      </c>
    </row>
    <row r="158" spans="1:6" x14ac:dyDescent="0.2">
      <c r="A158" t="str">
        <f t="shared" si="2"/>
        <v>NHA12_Typ2_U_10</v>
      </c>
      <c r="B158">
        <v>1.4</v>
      </c>
      <c r="C158">
        <v>1</v>
      </c>
      <c r="D158">
        <v>1</v>
      </c>
      <c r="E158">
        <v>10</v>
      </c>
      <c r="F158" t="s">
        <v>89</v>
      </c>
    </row>
    <row r="159" spans="1:6" x14ac:dyDescent="0.2">
      <c r="A159" t="str">
        <f t="shared" si="2"/>
        <v>NHA12_Typ2_U_20</v>
      </c>
      <c r="B159">
        <v>1.3</v>
      </c>
      <c r="C159">
        <v>1</v>
      </c>
      <c r="D159">
        <v>1</v>
      </c>
      <c r="E159">
        <v>20</v>
      </c>
      <c r="F159" t="s">
        <v>89</v>
      </c>
    </row>
    <row r="160" spans="1:6" x14ac:dyDescent="0.2">
      <c r="A160" t="str">
        <f t="shared" si="2"/>
        <v>NHA12_Typ2_U_30</v>
      </c>
      <c r="B160">
        <v>1.2</v>
      </c>
      <c r="C160">
        <v>1</v>
      </c>
      <c r="D160">
        <v>1</v>
      </c>
      <c r="E160">
        <v>30</v>
      </c>
      <c r="F160" t="s">
        <v>89</v>
      </c>
    </row>
    <row r="161" spans="1:6" x14ac:dyDescent="0.2">
      <c r="A161" t="str">
        <f t="shared" si="2"/>
        <v>NHA12_Typ2_U_40</v>
      </c>
      <c r="B161">
        <v>1.1000000000000001</v>
      </c>
      <c r="C161">
        <v>1</v>
      </c>
      <c r="D161">
        <v>1</v>
      </c>
      <c r="E161">
        <v>40</v>
      </c>
      <c r="F161" t="s">
        <v>89</v>
      </c>
    </row>
    <row r="162" spans="1:6" x14ac:dyDescent="0.2">
      <c r="A162" t="str">
        <f t="shared" si="2"/>
        <v>NHA12_Typ2_U_50</v>
      </c>
      <c r="B162">
        <v>1</v>
      </c>
      <c r="C162">
        <v>1</v>
      </c>
      <c r="D162">
        <v>1</v>
      </c>
      <c r="E162">
        <v>50</v>
      </c>
      <c r="F162" t="s">
        <v>89</v>
      </c>
    </row>
    <row r="163" spans="1:6" x14ac:dyDescent="0.2">
      <c r="A163" t="str">
        <f t="shared" si="2"/>
        <v>NHA12_Typ2_U_60</v>
      </c>
      <c r="B163">
        <v>0.94</v>
      </c>
      <c r="C163">
        <v>1</v>
      </c>
      <c r="D163">
        <v>1</v>
      </c>
      <c r="E163">
        <v>60</v>
      </c>
      <c r="F163" t="s">
        <v>89</v>
      </c>
    </row>
    <row r="164" spans="1:6" x14ac:dyDescent="0.2">
      <c r="A164" t="str">
        <f t="shared" si="2"/>
        <v>NHA12_Typ2_U_70</v>
      </c>
      <c r="B164">
        <v>0.88</v>
      </c>
      <c r="C164">
        <v>1</v>
      </c>
      <c r="D164">
        <v>1</v>
      </c>
      <c r="E164">
        <v>70</v>
      </c>
      <c r="F164" t="s">
        <v>89</v>
      </c>
    </row>
    <row r="165" spans="1:6" x14ac:dyDescent="0.2">
      <c r="A165" t="str">
        <f t="shared" si="2"/>
        <v>NHA12_Typ2_U_75</v>
      </c>
      <c r="B165">
        <v>0.85</v>
      </c>
      <c r="C165">
        <v>1</v>
      </c>
      <c r="D165">
        <v>1</v>
      </c>
      <c r="E165">
        <v>75</v>
      </c>
      <c r="F165" t="s">
        <v>89</v>
      </c>
    </row>
    <row r="166" spans="1:6" x14ac:dyDescent="0.2">
      <c r="A166" t="str">
        <f t="shared" si="2"/>
        <v>NHA12_Typ2_U_80</v>
      </c>
      <c r="B166">
        <v>0.82</v>
      </c>
      <c r="C166">
        <v>1</v>
      </c>
      <c r="D166">
        <v>1</v>
      </c>
      <c r="E166">
        <v>80</v>
      </c>
      <c r="F166" t="s">
        <v>89</v>
      </c>
    </row>
    <row r="167" spans="1:6" x14ac:dyDescent="0.2">
      <c r="A167" t="str">
        <f t="shared" si="2"/>
        <v>NHA12_Typ2_U_90</v>
      </c>
      <c r="B167">
        <v>0.76</v>
      </c>
      <c r="C167">
        <v>1</v>
      </c>
      <c r="D167">
        <v>1</v>
      </c>
      <c r="E167">
        <v>90</v>
      </c>
      <c r="F167" t="s">
        <v>89</v>
      </c>
    </row>
    <row r="168" spans="1:6" x14ac:dyDescent="0.2">
      <c r="A168" t="str">
        <f t="shared" si="2"/>
        <v>NHA12_Typ2_U_100</v>
      </c>
      <c r="B168">
        <v>0.7</v>
      </c>
      <c r="C168">
        <v>1</v>
      </c>
      <c r="D168">
        <v>1</v>
      </c>
      <c r="E168">
        <v>100</v>
      </c>
      <c r="F168" t="s">
        <v>89</v>
      </c>
    </row>
    <row r="169" spans="1:6" x14ac:dyDescent="0.2">
      <c r="A169" t="str">
        <f t="shared" si="2"/>
        <v/>
      </c>
    </row>
    <row r="170" spans="1:6" x14ac:dyDescent="0.2">
      <c r="A170" t="str">
        <f t="shared" si="2"/>
        <v>NHA12_Typ1_U_10</v>
      </c>
      <c r="B170">
        <v>1.4</v>
      </c>
      <c r="C170">
        <v>1</v>
      </c>
      <c r="D170">
        <v>1</v>
      </c>
      <c r="E170">
        <v>10</v>
      </c>
      <c r="F170" t="s">
        <v>90</v>
      </c>
    </row>
    <row r="171" spans="1:6" x14ac:dyDescent="0.2">
      <c r="A171" t="str">
        <f t="shared" si="2"/>
        <v>NHA12_Typ1_U_20</v>
      </c>
      <c r="B171">
        <v>1.3</v>
      </c>
      <c r="C171">
        <v>1</v>
      </c>
      <c r="D171">
        <v>1</v>
      </c>
      <c r="E171">
        <v>20</v>
      </c>
      <c r="F171" t="s">
        <v>90</v>
      </c>
    </row>
    <row r="172" spans="1:6" x14ac:dyDescent="0.2">
      <c r="A172" t="str">
        <f t="shared" si="2"/>
        <v>NHA12_Typ1_U_30</v>
      </c>
      <c r="B172">
        <v>1.2</v>
      </c>
      <c r="C172">
        <v>1</v>
      </c>
      <c r="D172">
        <v>1</v>
      </c>
      <c r="E172">
        <v>30</v>
      </c>
      <c r="F172" t="s">
        <v>90</v>
      </c>
    </row>
    <row r="173" spans="1:6" x14ac:dyDescent="0.2">
      <c r="A173" t="str">
        <f t="shared" si="2"/>
        <v>NHA12_Typ1_U_40</v>
      </c>
      <c r="B173">
        <v>1.1000000000000001</v>
      </c>
      <c r="C173">
        <v>1</v>
      </c>
      <c r="D173">
        <v>1</v>
      </c>
      <c r="E173">
        <v>40</v>
      </c>
      <c r="F173" t="s">
        <v>90</v>
      </c>
    </row>
    <row r="174" spans="1:6" x14ac:dyDescent="0.2">
      <c r="A174" t="str">
        <f t="shared" si="2"/>
        <v>NHA12_Typ1_U_50</v>
      </c>
      <c r="B174">
        <v>1</v>
      </c>
      <c r="C174">
        <v>1</v>
      </c>
      <c r="D174">
        <v>1</v>
      </c>
      <c r="E174">
        <v>50</v>
      </c>
      <c r="F174" t="s">
        <v>90</v>
      </c>
    </row>
    <row r="175" spans="1:6" x14ac:dyDescent="0.2">
      <c r="A175" t="str">
        <f t="shared" si="2"/>
        <v>NHA12_Typ1_U_60</v>
      </c>
      <c r="B175">
        <v>0.94</v>
      </c>
      <c r="C175">
        <v>1</v>
      </c>
      <c r="D175">
        <v>1</v>
      </c>
      <c r="E175">
        <v>60</v>
      </c>
      <c r="F175" t="s">
        <v>90</v>
      </c>
    </row>
    <row r="176" spans="1:6" x14ac:dyDescent="0.2">
      <c r="A176" t="str">
        <f t="shared" si="2"/>
        <v>NHA12_Typ1_U_70</v>
      </c>
      <c r="B176">
        <v>0.88</v>
      </c>
      <c r="C176">
        <v>1</v>
      </c>
      <c r="D176">
        <v>1</v>
      </c>
      <c r="E176">
        <v>70</v>
      </c>
      <c r="F176" t="s">
        <v>90</v>
      </c>
    </row>
    <row r="177" spans="1:6" x14ac:dyDescent="0.2">
      <c r="A177" t="str">
        <f t="shared" si="2"/>
        <v>NHA12_Typ1_U_75</v>
      </c>
      <c r="B177">
        <v>0.85</v>
      </c>
      <c r="C177">
        <v>1</v>
      </c>
      <c r="D177">
        <v>1</v>
      </c>
      <c r="E177">
        <v>75</v>
      </c>
      <c r="F177" t="s">
        <v>90</v>
      </c>
    </row>
    <row r="178" spans="1:6" x14ac:dyDescent="0.2">
      <c r="A178" t="str">
        <f t="shared" si="2"/>
        <v>NHA12_Typ1_U_80</v>
      </c>
      <c r="B178">
        <v>0.82</v>
      </c>
      <c r="C178">
        <v>1</v>
      </c>
      <c r="D178">
        <v>1</v>
      </c>
      <c r="E178">
        <v>80</v>
      </c>
      <c r="F178" t="s">
        <v>90</v>
      </c>
    </row>
    <row r="179" spans="1:6" x14ac:dyDescent="0.2">
      <c r="A179" t="str">
        <f t="shared" si="2"/>
        <v>NHA12_Typ1_U_90</v>
      </c>
      <c r="B179">
        <v>0.76</v>
      </c>
      <c r="C179">
        <v>1</v>
      </c>
      <c r="D179">
        <v>1</v>
      </c>
      <c r="E179">
        <v>90</v>
      </c>
      <c r="F179" t="s">
        <v>90</v>
      </c>
    </row>
    <row r="180" spans="1:6" x14ac:dyDescent="0.2">
      <c r="A180" t="str">
        <f t="shared" si="2"/>
        <v>NHA12_Typ1_U_100</v>
      </c>
      <c r="B180">
        <v>0.7</v>
      </c>
      <c r="C180">
        <v>1</v>
      </c>
      <c r="D180">
        <v>1</v>
      </c>
      <c r="E180">
        <v>100</v>
      </c>
      <c r="F180" t="s">
        <v>90</v>
      </c>
    </row>
    <row r="181" spans="1:6" x14ac:dyDescent="0.2">
      <c r="A181" t="str">
        <f t="shared" si="2"/>
        <v/>
      </c>
    </row>
    <row r="182" spans="1:6" x14ac:dyDescent="0.2">
      <c r="A182" t="str">
        <f t="shared" si="2"/>
        <v>NLO15_10</v>
      </c>
      <c r="B182">
        <v>1.4</v>
      </c>
      <c r="C182">
        <v>1</v>
      </c>
      <c r="D182">
        <v>1</v>
      </c>
      <c r="E182">
        <v>10</v>
      </c>
      <c r="F182" t="s">
        <v>72</v>
      </c>
    </row>
    <row r="183" spans="1:6" x14ac:dyDescent="0.2">
      <c r="A183" t="str">
        <f t="shared" si="2"/>
        <v>NLO15_20</v>
      </c>
      <c r="B183">
        <v>1.3</v>
      </c>
      <c r="C183">
        <v>1</v>
      </c>
      <c r="D183">
        <v>1</v>
      </c>
      <c r="E183">
        <v>20</v>
      </c>
      <c r="F183" t="s">
        <v>72</v>
      </c>
    </row>
    <row r="184" spans="1:6" x14ac:dyDescent="0.2">
      <c r="A184" t="str">
        <f t="shared" si="2"/>
        <v>NLO15_30</v>
      </c>
      <c r="B184">
        <v>1.2</v>
      </c>
      <c r="C184">
        <v>1</v>
      </c>
      <c r="D184">
        <v>1</v>
      </c>
      <c r="E184">
        <v>30</v>
      </c>
      <c r="F184" t="s">
        <v>72</v>
      </c>
    </row>
    <row r="185" spans="1:6" x14ac:dyDescent="0.2">
      <c r="A185" t="str">
        <f t="shared" si="2"/>
        <v>NLO15_40</v>
      </c>
      <c r="B185">
        <v>1.1000000000000001</v>
      </c>
      <c r="C185">
        <v>1</v>
      </c>
      <c r="D185">
        <v>1</v>
      </c>
      <c r="E185">
        <v>40</v>
      </c>
      <c r="F185" t="s">
        <v>72</v>
      </c>
    </row>
    <row r="186" spans="1:6" x14ac:dyDescent="0.2">
      <c r="A186" t="str">
        <f t="shared" si="2"/>
        <v>NLO15_50</v>
      </c>
      <c r="B186">
        <v>1</v>
      </c>
      <c r="C186">
        <v>1</v>
      </c>
      <c r="D186">
        <v>1</v>
      </c>
      <c r="E186">
        <v>50</v>
      </c>
      <c r="F186" t="s">
        <v>72</v>
      </c>
    </row>
    <row r="187" spans="1:6" x14ac:dyDescent="0.2">
      <c r="A187" t="str">
        <f t="shared" si="2"/>
        <v>NLO15_60</v>
      </c>
      <c r="B187">
        <v>0.94</v>
      </c>
      <c r="C187">
        <v>1</v>
      </c>
      <c r="D187">
        <v>1</v>
      </c>
      <c r="E187">
        <v>60</v>
      </c>
      <c r="F187" t="s">
        <v>72</v>
      </c>
    </row>
    <row r="188" spans="1:6" x14ac:dyDescent="0.2">
      <c r="A188" t="str">
        <f t="shared" si="2"/>
        <v>NLO15_70</v>
      </c>
      <c r="B188">
        <v>0.88</v>
      </c>
      <c r="C188">
        <v>1</v>
      </c>
      <c r="D188">
        <v>1</v>
      </c>
      <c r="E188">
        <v>70</v>
      </c>
      <c r="F188" t="s">
        <v>72</v>
      </c>
    </row>
    <row r="189" spans="1:6" x14ac:dyDescent="0.2">
      <c r="A189" t="str">
        <f t="shared" si="2"/>
        <v>NLO15_75</v>
      </c>
      <c r="B189">
        <v>0.85</v>
      </c>
      <c r="C189">
        <v>1</v>
      </c>
      <c r="D189">
        <v>1</v>
      </c>
      <c r="E189">
        <v>75</v>
      </c>
      <c r="F189" t="s">
        <v>72</v>
      </c>
    </row>
    <row r="190" spans="1:6" x14ac:dyDescent="0.2">
      <c r="A190" t="str">
        <f t="shared" si="2"/>
        <v>NLO15_80</v>
      </c>
      <c r="B190">
        <v>0.82</v>
      </c>
      <c r="C190">
        <v>1</v>
      </c>
      <c r="D190">
        <v>1</v>
      </c>
      <c r="E190">
        <v>80</v>
      </c>
      <c r="F190" t="s">
        <v>72</v>
      </c>
    </row>
    <row r="191" spans="1:6" x14ac:dyDescent="0.2">
      <c r="A191" t="str">
        <f t="shared" si="2"/>
        <v>NLO15_90</v>
      </c>
      <c r="B191">
        <v>0.76</v>
      </c>
      <c r="C191">
        <v>1</v>
      </c>
      <c r="D191">
        <v>1</v>
      </c>
      <c r="E191">
        <v>90</v>
      </c>
      <c r="F191" t="s">
        <v>72</v>
      </c>
    </row>
    <row r="192" spans="1:6" x14ac:dyDescent="0.2">
      <c r="A192" t="str">
        <f t="shared" si="2"/>
        <v>NLO15_100</v>
      </c>
      <c r="B192">
        <v>0.7</v>
      </c>
      <c r="C192">
        <v>1</v>
      </c>
      <c r="D192">
        <v>1</v>
      </c>
      <c r="E192">
        <v>100</v>
      </c>
      <c r="F192" t="s">
        <v>72</v>
      </c>
    </row>
    <row r="193" spans="1:6" x14ac:dyDescent="0.2">
      <c r="A193" t="str">
        <f t="shared" si="2"/>
        <v>NLO15_110</v>
      </c>
      <c r="B193">
        <v>0.7</v>
      </c>
      <c r="C193">
        <v>1</v>
      </c>
      <c r="D193">
        <v>0.75</v>
      </c>
      <c r="E193">
        <v>110</v>
      </c>
      <c r="F193" t="s">
        <v>72</v>
      </c>
    </row>
    <row r="194" spans="1:6" x14ac:dyDescent="0.2">
      <c r="A194" t="str">
        <f t="shared" si="2"/>
        <v>NLO15_120</v>
      </c>
      <c r="B194">
        <v>0.7</v>
      </c>
      <c r="C194">
        <v>1</v>
      </c>
      <c r="D194">
        <v>0.5</v>
      </c>
      <c r="E194">
        <v>120</v>
      </c>
      <c r="F194" t="s">
        <v>72</v>
      </c>
    </row>
    <row r="195" spans="1:6" x14ac:dyDescent="0.2">
      <c r="A195" t="str">
        <f t="shared" ref="A195:A258" si="3">IF(F195="","",CONCATENATE(F195,"_",E195))</f>
        <v/>
      </c>
    </row>
    <row r="196" spans="1:6" x14ac:dyDescent="0.2">
      <c r="A196" t="str">
        <f t="shared" si="3"/>
        <v>NPS15_10</v>
      </c>
      <c r="B196">
        <v>1.4</v>
      </c>
      <c r="C196">
        <v>1</v>
      </c>
      <c r="D196">
        <v>1</v>
      </c>
      <c r="E196">
        <v>10</v>
      </c>
      <c r="F196" t="s">
        <v>73</v>
      </c>
    </row>
    <row r="197" spans="1:6" x14ac:dyDescent="0.2">
      <c r="A197" t="str">
        <f t="shared" si="3"/>
        <v>NPS15_20</v>
      </c>
      <c r="B197">
        <v>1.3</v>
      </c>
      <c r="C197">
        <v>1</v>
      </c>
      <c r="D197">
        <v>1</v>
      </c>
      <c r="E197">
        <v>20</v>
      </c>
      <c r="F197" t="s">
        <v>73</v>
      </c>
    </row>
    <row r="198" spans="1:6" x14ac:dyDescent="0.2">
      <c r="A198" t="str">
        <f t="shared" si="3"/>
        <v>NPS15_30</v>
      </c>
      <c r="B198">
        <v>1.2</v>
      </c>
      <c r="C198">
        <v>1</v>
      </c>
      <c r="D198">
        <v>1</v>
      </c>
      <c r="E198">
        <v>30</v>
      </c>
      <c r="F198" t="s">
        <v>73</v>
      </c>
    </row>
    <row r="199" spans="1:6" x14ac:dyDescent="0.2">
      <c r="A199" t="str">
        <f t="shared" si="3"/>
        <v>NPS15_40</v>
      </c>
      <c r="B199">
        <v>1.1000000000000001</v>
      </c>
      <c r="C199">
        <v>1</v>
      </c>
      <c r="D199">
        <v>1</v>
      </c>
      <c r="E199">
        <v>40</v>
      </c>
      <c r="F199" t="s">
        <v>73</v>
      </c>
    </row>
    <row r="200" spans="1:6" x14ac:dyDescent="0.2">
      <c r="A200" t="str">
        <f t="shared" si="3"/>
        <v>NPS15_50</v>
      </c>
      <c r="B200">
        <v>1</v>
      </c>
      <c r="C200">
        <v>1</v>
      </c>
      <c r="D200">
        <v>1</v>
      </c>
      <c r="E200">
        <v>50</v>
      </c>
      <c r="F200" t="s">
        <v>73</v>
      </c>
    </row>
    <row r="201" spans="1:6" x14ac:dyDescent="0.2">
      <c r="A201" t="str">
        <f t="shared" si="3"/>
        <v>NPS15_60</v>
      </c>
      <c r="B201">
        <v>0.94</v>
      </c>
      <c r="C201">
        <v>1</v>
      </c>
      <c r="D201">
        <v>1</v>
      </c>
      <c r="E201">
        <v>60</v>
      </c>
      <c r="F201" t="s">
        <v>73</v>
      </c>
    </row>
    <row r="202" spans="1:6" x14ac:dyDescent="0.2">
      <c r="A202" t="str">
        <f t="shared" si="3"/>
        <v>NPS15_70</v>
      </c>
      <c r="B202">
        <v>0.88</v>
      </c>
      <c r="C202">
        <v>1</v>
      </c>
      <c r="D202">
        <v>1</v>
      </c>
      <c r="E202">
        <v>70</v>
      </c>
      <c r="F202" t="s">
        <v>73</v>
      </c>
    </row>
    <row r="203" spans="1:6" x14ac:dyDescent="0.2">
      <c r="A203" t="str">
        <f t="shared" si="3"/>
        <v>NPS15_75</v>
      </c>
      <c r="B203">
        <v>0.85</v>
      </c>
      <c r="C203">
        <v>1</v>
      </c>
      <c r="D203">
        <v>1</v>
      </c>
      <c r="E203">
        <v>75</v>
      </c>
      <c r="F203" t="s">
        <v>73</v>
      </c>
    </row>
    <row r="204" spans="1:6" x14ac:dyDescent="0.2">
      <c r="A204" t="str">
        <f t="shared" si="3"/>
        <v>NPS15_80</v>
      </c>
      <c r="B204">
        <v>0.82</v>
      </c>
      <c r="C204">
        <v>1</v>
      </c>
      <c r="D204">
        <v>1</v>
      </c>
      <c r="E204">
        <v>80</v>
      </c>
      <c r="F204" t="s">
        <v>73</v>
      </c>
    </row>
    <row r="205" spans="1:6" x14ac:dyDescent="0.2">
      <c r="A205" t="str">
        <f t="shared" si="3"/>
        <v>NPS15_90</v>
      </c>
      <c r="B205">
        <v>0.76</v>
      </c>
      <c r="C205">
        <v>1</v>
      </c>
      <c r="D205">
        <v>1</v>
      </c>
      <c r="E205">
        <v>90</v>
      </c>
      <c r="F205" t="s">
        <v>73</v>
      </c>
    </row>
    <row r="206" spans="1:6" x14ac:dyDescent="0.2">
      <c r="A206" t="str">
        <f t="shared" si="3"/>
        <v>NPS15_100</v>
      </c>
      <c r="B206">
        <v>0.7</v>
      </c>
      <c r="C206">
        <v>1</v>
      </c>
      <c r="D206">
        <v>1</v>
      </c>
      <c r="E206">
        <v>100</v>
      </c>
      <c r="F206" t="s">
        <v>73</v>
      </c>
    </row>
    <row r="207" spans="1:6" x14ac:dyDescent="0.2">
      <c r="A207" t="str">
        <f t="shared" si="3"/>
        <v>NPS15_110</v>
      </c>
      <c r="B207">
        <v>0.7</v>
      </c>
      <c r="C207">
        <v>1</v>
      </c>
      <c r="D207">
        <v>0.75</v>
      </c>
      <c r="E207">
        <v>110</v>
      </c>
      <c r="F207" t="s">
        <v>73</v>
      </c>
    </row>
    <row r="208" spans="1:6" x14ac:dyDescent="0.2">
      <c r="A208" t="str">
        <f t="shared" si="3"/>
        <v>NPS15_120</v>
      </c>
      <c r="B208">
        <v>0.7</v>
      </c>
      <c r="C208">
        <v>1</v>
      </c>
      <c r="D208">
        <v>0.5</v>
      </c>
      <c r="E208">
        <v>120</v>
      </c>
      <c r="F208" t="s">
        <v>73</v>
      </c>
    </row>
    <row r="209" spans="1:6" x14ac:dyDescent="0.2">
      <c r="A209" t="str">
        <f t="shared" si="3"/>
        <v/>
      </c>
    </row>
    <row r="210" spans="1:6" x14ac:dyDescent="0.2">
      <c r="A210" t="str">
        <f t="shared" si="3"/>
        <v>NIN12_Typ1_U_10</v>
      </c>
      <c r="B210">
        <v>1.4</v>
      </c>
      <c r="C210">
        <v>1</v>
      </c>
      <c r="D210">
        <v>1</v>
      </c>
      <c r="E210">
        <v>10</v>
      </c>
      <c r="F210" t="s">
        <v>75</v>
      </c>
    </row>
    <row r="211" spans="1:6" x14ac:dyDescent="0.2">
      <c r="A211" t="str">
        <f t="shared" si="3"/>
        <v>NIN12_Typ1_U_20</v>
      </c>
      <c r="B211">
        <v>1.3</v>
      </c>
      <c r="C211">
        <v>1</v>
      </c>
      <c r="D211">
        <v>1</v>
      </c>
      <c r="E211">
        <v>20</v>
      </c>
      <c r="F211" t="s">
        <v>75</v>
      </c>
    </row>
    <row r="212" spans="1:6" x14ac:dyDescent="0.2">
      <c r="A212" t="str">
        <f t="shared" si="3"/>
        <v>NIN12_Typ1_U_30</v>
      </c>
      <c r="B212">
        <v>1.2</v>
      </c>
      <c r="C212">
        <v>1</v>
      </c>
      <c r="D212">
        <v>1</v>
      </c>
      <c r="E212">
        <v>30</v>
      </c>
      <c r="F212" t="s">
        <v>75</v>
      </c>
    </row>
    <row r="213" spans="1:6" x14ac:dyDescent="0.2">
      <c r="A213" t="str">
        <f t="shared" si="3"/>
        <v>NIN12_Typ1_U_40</v>
      </c>
      <c r="B213">
        <v>1.1000000000000001</v>
      </c>
      <c r="C213">
        <v>1</v>
      </c>
      <c r="D213">
        <v>1</v>
      </c>
      <c r="E213">
        <v>40</v>
      </c>
      <c r="F213" t="s">
        <v>75</v>
      </c>
    </row>
    <row r="214" spans="1:6" x14ac:dyDescent="0.2">
      <c r="A214" t="str">
        <f t="shared" si="3"/>
        <v>NIN12_Typ1_U_50</v>
      </c>
      <c r="B214">
        <v>1</v>
      </c>
      <c r="C214">
        <v>1</v>
      </c>
      <c r="D214">
        <v>1</v>
      </c>
      <c r="E214">
        <v>50</v>
      </c>
      <c r="F214" t="s">
        <v>75</v>
      </c>
    </row>
    <row r="215" spans="1:6" x14ac:dyDescent="0.2">
      <c r="A215" t="str">
        <f t="shared" si="3"/>
        <v>NIN12_Typ1_U_60</v>
      </c>
      <c r="B215">
        <v>0.94</v>
      </c>
      <c r="C215">
        <v>1</v>
      </c>
      <c r="D215">
        <v>1</v>
      </c>
      <c r="E215">
        <v>60</v>
      </c>
      <c r="F215" t="s">
        <v>75</v>
      </c>
    </row>
    <row r="216" spans="1:6" x14ac:dyDescent="0.2">
      <c r="A216" t="str">
        <f t="shared" si="3"/>
        <v>NIN12_Typ1_U_70</v>
      </c>
      <c r="B216">
        <v>0.88</v>
      </c>
      <c r="C216">
        <v>1</v>
      </c>
      <c r="D216">
        <v>1</v>
      </c>
      <c r="E216">
        <v>70</v>
      </c>
      <c r="F216" t="s">
        <v>75</v>
      </c>
    </row>
    <row r="217" spans="1:6" x14ac:dyDescent="0.2">
      <c r="A217" t="str">
        <f t="shared" si="3"/>
        <v>NIN12_Typ1_U_75</v>
      </c>
      <c r="B217">
        <v>0.85</v>
      </c>
      <c r="C217">
        <v>1</v>
      </c>
      <c r="D217">
        <v>1</v>
      </c>
      <c r="E217">
        <v>75</v>
      </c>
      <c r="F217" t="s">
        <v>75</v>
      </c>
    </row>
    <row r="218" spans="1:6" x14ac:dyDescent="0.2">
      <c r="A218" t="str">
        <f t="shared" si="3"/>
        <v>NIN12_Typ1_U_80</v>
      </c>
      <c r="B218">
        <v>0.82</v>
      </c>
      <c r="C218">
        <v>1</v>
      </c>
      <c r="D218">
        <v>1</v>
      </c>
      <c r="E218">
        <v>80</v>
      </c>
      <c r="F218" t="s">
        <v>75</v>
      </c>
    </row>
    <row r="219" spans="1:6" x14ac:dyDescent="0.2">
      <c r="A219" t="str">
        <f t="shared" si="3"/>
        <v>NIN12_Typ1_U_90</v>
      </c>
      <c r="B219">
        <v>0.76</v>
      </c>
      <c r="C219">
        <v>1</v>
      </c>
      <c r="D219">
        <v>1</v>
      </c>
      <c r="E219">
        <v>90</v>
      </c>
      <c r="F219" t="s">
        <v>75</v>
      </c>
    </row>
    <row r="220" spans="1:6" x14ac:dyDescent="0.2">
      <c r="A220" t="str">
        <f t="shared" si="3"/>
        <v>NIN12_Typ1_U_100</v>
      </c>
      <c r="B220">
        <v>0.7</v>
      </c>
      <c r="C220">
        <v>1</v>
      </c>
      <c r="D220">
        <v>1</v>
      </c>
      <c r="E220">
        <v>100</v>
      </c>
      <c r="F220" t="s">
        <v>75</v>
      </c>
    </row>
    <row r="221" spans="1:6" x14ac:dyDescent="0.2">
      <c r="A221" t="str">
        <f t="shared" si="3"/>
        <v/>
      </c>
    </row>
    <row r="222" spans="1:6" x14ac:dyDescent="0.2">
      <c r="A222" t="str">
        <f t="shared" si="3"/>
        <v>NIN12_Typ2_U_10</v>
      </c>
      <c r="B222">
        <v>1.4</v>
      </c>
      <c r="C222">
        <v>1</v>
      </c>
      <c r="D222">
        <v>1</v>
      </c>
      <c r="E222">
        <v>10</v>
      </c>
      <c r="F222" t="s">
        <v>77</v>
      </c>
    </row>
    <row r="223" spans="1:6" x14ac:dyDescent="0.2">
      <c r="A223" t="str">
        <f t="shared" si="3"/>
        <v>NIN12_Typ2_U_20</v>
      </c>
      <c r="B223">
        <v>1.3</v>
      </c>
      <c r="C223">
        <v>1</v>
      </c>
      <c r="D223">
        <v>1</v>
      </c>
      <c r="E223">
        <v>20</v>
      </c>
      <c r="F223" t="s">
        <v>77</v>
      </c>
    </row>
    <row r="224" spans="1:6" x14ac:dyDescent="0.2">
      <c r="A224" t="str">
        <f t="shared" si="3"/>
        <v>NIN12_Typ2_U_30</v>
      </c>
      <c r="B224">
        <v>1.2</v>
      </c>
      <c r="C224">
        <v>1</v>
      </c>
      <c r="D224">
        <v>1</v>
      </c>
      <c r="E224">
        <v>30</v>
      </c>
      <c r="F224" t="s">
        <v>77</v>
      </c>
    </row>
    <row r="225" spans="1:6" x14ac:dyDescent="0.2">
      <c r="A225" t="str">
        <f t="shared" si="3"/>
        <v>NIN12_Typ2_U_40</v>
      </c>
      <c r="B225">
        <v>1.1000000000000001</v>
      </c>
      <c r="C225">
        <v>1</v>
      </c>
      <c r="D225">
        <v>1</v>
      </c>
      <c r="E225">
        <v>40</v>
      </c>
      <c r="F225" t="s">
        <v>77</v>
      </c>
    </row>
    <row r="226" spans="1:6" x14ac:dyDescent="0.2">
      <c r="A226" t="str">
        <f t="shared" si="3"/>
        <v>NIN12_Typ2_U_50</v>
      </c>
      <c r="B226">
        <v>1</v>
      </c>
      <c r="C226">
        <v>1</v>
      </c>
      <c r="D226">
        <v>1</v>
      </c>
      <c r="E226">
        <v>50</v>
      </c>
      <c r="F226" t="s">
        <v>77</v>
      </c>
    </row>
    <row r="227" spans="1:6" x14ac:dyDescent="0.2">
      <c r="A227" t="str">
        <f t="shared" si="3"/>
        <v>NIN12_Typ2_U_60</v>
      </c>
      <c r="B227">
        <v>0.94</v>
      </c>
      <c r="C227">
        <v>1</v>
      </c>
      <c r="D227">
        <v>1</v>
      </c>
      <c r="E227">
        <v>60</v>
      </c>
      <c r="F227" t="s">
        <v>77</v>
      </c>
    </row>
    <row r="228" spans="1:6" x14ac:dyDescent="0.2">
      <c r="A228" t="str">
        <f t="shared" si="3"/>
        <v>NIN12_Typ2_U_70</v>
      </c>
      <c r="B228">
        <v>0.88</v>
      </c>
      <c r="C228">
        <v>1</v>
      </c>
      <c r="D228">
        <v>1</v>
      </c>
      <c r="E228">
        <v>70</v>
      </c>
      <c r="F228" t="s">
        <v>77</v>
      </c>
    </row>
    <row r="229" spans="1:6" x14ac:dyDescent="0.2">
      <c r="A229" t="str">
        <f t="shared" si="3"/>
        <v>NIN12_Typ2_U_75</v>
      </c>
      <c r="B229">
        <v>0.85</v>
      </c>
      <c r="C229">
        <v>1</v>
      </c>
      <c r="D229">
        <v>1</v>
      </c>
      <c r="E229">
        <v>75</v>
      </c>
      <c r="F229" t="s">
        <v>77</v>
      </c>
    </row>
    <row r="230" spans="1:6" x14ac:dyDescent="0.2">
      <c r="A230" t="str">
        <f t="shared" si="3"/>
        <v>NIN12_Typ2_U_80</v>
      </c>
      <c r="B230">
        <v>0.82</v>
      </c>
      <c r="C230">
        <v>1</v>
      </c>
      <c r="D230">
        <v>1</v>
      </c>
      <c r="E230">
        <v>80</v>
      </c>
      <c r="F230" t="s">
        <v>77</v>
      </c>
    </row>
    <row r="231" spans="1:6" x14ac:dyDescent="0.2">
      <c r="A231" t="str">
        <f t="shared" si="3"/>
        <v>NIN12_Typ2_U_90</v>
      </c>
      <c r="B231">
        <v>0.76</v>
      </c>
      <c r="C231">
        <v>1</v>
      </c>
      <c r="D231">
        <v>1</v>
      </c>
      <c r="E231">
        <v>90</v>
      </c>
      <c r="F231" t="s">
        <v>77</v>
      </c>
    </row>
    <row r="232" spans="1:6" x14ac:dyDescent="0.2">
      <c r="A232" t="str">
        <f t="shared" si="3"/>
        <v>NIN12_Typ2_U_100</v>
      </c>
      <c r="B232">
        <v>0.7</v>
      </c>
      <c r="C232">
        <v>1</v>
      </c>
      <c r="D232">
        <v>1</v>
      </c>
      <c r="E232">
        <v>100</v>
      </c>
      <c r="F232" t="s">
        <v>77</v>
      </c>
    </row>
    <row r="233" spans="1:6" x14ac:dyDescent="0.2">
      <c r="A233" t="str">
        <f t="shared" si="3"/>
        <v/>
      </c>
    </row>
    <row r="234" spans="1:6" x14ac:dyDescent="0.2">
      <c r="A234" t="str">
        <f t="shared" si="3"/>
        <v>NHO12_U_10</v>
      </c>
      <c r="B234">
        <v>1.4</v>
      </c>
      <c r="C234">
        <v>1</v>
      </c>
      <c r="D234">
        <v>1</v>
      </c>
      <c r="E234">
        <v>10</v>
      </c>
      <c r="F234" t="s">
        <v>91</v>
      </c>
    </row>
    <row r="235" spans="1:6" x14ac:dyDescent="0.2">
      <c r="A235" t="str">
        <f t="shared" si="3"/>
        <v>NHO12_U_20</v>
      </c>
      <c r="B235">
        <v>1.3</v>
      </c>
      <c r="C235">
        <v>1</v>
      </c>
      <c r="D235">
        <v>1</v>
      </c>
      <c r="E235">
        <v>20</v>
      </c>
      <c r="F235" t="s">
        <v>91</v>
      </c>
    </row>
    <row r="236" spans="1:6" x14ac:dyDescent="0.2">
      <c r="A236" t="str">
        <f t="shared" si="3"/>
        <v>NHO12_U_30</v>
      </c>
      <c r="B236">
        <v>1.2</v>
      </c>
      <c r="C236">
        <v>1</v>
      </c>
      <c r="D236">
        <v>1</v>
      </c>
      <c r="E236">
        <v>30</v>
      </c>
      <c r="F236" t="s">
        <v>91</v>
      </c>
    </row>
    <row r="237" spans="1:6" x14ac:dyDescent="0.2">
      <c r="A237" t="str">
        <f t="shared" si="3"/>
        <v>NHO12_U_40</v>
      </c>
      <c r="B237">
        <v>1.1000000000000001</v>
      </c>
      <c r="C237">
        <v>1</v>
      </c>
      <c r="D237">
        <v>1</v>
      </c>
      <c r="E237">
        <v>40</v>
      </c>
      <c r="F237" t="s">
        <v>91</v>
      </c>
    </row>
    <row r="238" spans="1:6" x14ac:dyDescent="0.2">
      <c r="A238" t="str">
        <f t="shared" si="3"/>
        <v>NHO12_U_50</v>
      </c>
      <c r="B238">
        <v>1</v>
      </c>
      <c r="C238">
        <v>1</v>
      </c>
      <c r="D238">
        <v>1</v>
      </c>
      <c r="E238">
        <v>50</v>
      </c>
      <c r="F238" t="s">
        <v>91</v>
      </c>
    </row>
    <row r="239" spans="1:6" x14ac:dyDescent="0.2">
      <c r="A239" t="str">
        <f t="shared" si="3"/>
        <v>NHO12_U_60</v>
      </c>
      <c r="B239">
        <v>0.94</v>
      </c>
      <c r="C239">
        <v>1</v>
      </c>
      <c r="D239">
        <v>1</v>
      </c>
      <c r="E239">
        <v>60</v>
      </c>
      <c r="F239" t="s">
        <v>91</v>
      </c>
    </row>
    <row r="240" spans="1:6" x14ac:dyDescent="0.2">
      <c r="A240" t="str">
        <f t="shared" si="3"/>
        <v>NHO12_U_70</v>
      </c>
      <c r="B240">
        <v>0.88</v>
      </c>
      <c r="C240">
        <v>1</v>
      </c>
      <c r="D240">
        <v>1</v>
      </c>
      <c r="E240">
        <v>70</v>
      </c>
      <c r="F240" t="s">
        <v>91</v>
      </c>
    </row>
    <row r="241" spans="1:6" x14ac:dyDescent="0.2">
      <c r="A241" t="str">
        <f t="shared" si="3"/>
        <v>NHO12_U_75</v>
      </c>
      <c r="B241">
        <v>0.85</v>
      </c>
      <c r="C241">
        <v>1</v>
      </c>
      <c r="D241">
        <v>1</v>
      </c>
      <c r="E241">
        <v>75</v>
      </c>
      <c r="F241" t="s">
        <v>91</v>
      </c>
    </row>
    <row r="242" spans="1:6" x14ac:dyDescent="0.2">
      <c r="A242" t="str">
        <f t="shared" si="3"/>
        <v>NHO12_U_80</v>
      </c>
      <c r="B242">
        <v>0.82</v>
      </c>
      <c r="C242">
        <v>1</v>
      </c>
      <c r="D242">
        <v>1</v>
      </c>
      <c r="E242">
        <v>80</v>
      </c>
      <c r="F242" t="s">
        <v>91</v>
      </c>
    </row>
    <row r="243" spans="1:6" x14ac:dyDescent="0.2">
      <c r="A243" t="str">
        <f t="shared" si="3"/>
        <v>NHO12_U_90</v>
      </c>
      <c r="B243">
        <v>0.76</v>
      </c>
      <c r="C243">
        <v>1</v>
      </c>
      <c r="D243">
        <v>1</v>
      </c>
      <c r="E243">
        <v>90</v>
      </c>
      <c r="F243" t="s">
        <v>91</v>
      </c>
    </row>
    <row r="244" spans="1:6" x14ac:dyDescent="0.2">
      <c r="A244" t="str">
        <f t="shared" si="3"/>
        <v>NHO12_U_100</v>
      </c>
      <c r="B244">
        <v>0.7</v>
      </c>
      <c r="C244">
        <v>1</v>
      </c>
      <c r="D244">
        <v>1</v>
      </c>
      <c r="E244">
        <v>100</v>
      </c>
      <c r="F244" t="s">
        <v>91</v>
      </c>
    </row>
    <row r="245" spans="1:6" x14ac:dyDescent="0.2">
      <c r="A245" t="str">
        <f t="shared" si="3"/>
        <v/>
      </c>
    </row>
    <row r="246" spans="1:6" x14ac:dyDescent="0.2">
      <c r="A246" t="str">
        <f t="shared" si="3"/>
        <v>NHO15_10</v>
      </c>
      <c r="B246">
        <v>1.4</v>
      </c>
      <c r="C246">
        <v>1</v>
      </c>
      <c r="D246">
        <v>1</v>
      </c>
      <c r="E246">
        <v>10</v>
      </c>
      <c r="F246" t="s">
        <v>92</v>
      </c>
    </row>
    <row r="247" spans="1:6" x14ac:dyDescent="0.2">
      <c r="A247" t="str">
        <f t="shared" si="3"/>
        <v>NHO15_20</v>
      </c>
      <c r="B247">
        <v>1.3</v>
      </c>
      <c r="C247">
        <v>1</v>
      </c>
      <c r="D247">
        <v>1</v>
      </c>
      <c r="E247">
        <v>20</v>
      </c>
      <c r="F247" t="s">
        <v>92</v>
      </c>
    </row>
    <row r="248" spans="1:6" x14ac:dyDescent="0.2">
      <c r="A248" t="str">
        <f t="shared" si="3"/>
        <v>NHO15_30</v>
      </c>
      <c r="B248">
        <v>1.2</v>
      </c>
      <c r="C248">
        <v>1</v>
      </c>
      <c r="D248">
        <v>1</v>
      </c>
      <c r="E248">
        <v>30</v>
      </c>
      <c r="F248" t="s">
        <v>92</v>
      </c>
    </row>
    <row r="249" spans="1:6" x14ac:dyDescent="0.2">
      <c r="A249" t="str">
        <f t="shared" si="3"/>
        <v>NHO15_40</v>
      </c>
      <c r="B249">
        <v>1.1000000000000001</v>
      </c>
      <c r="C249">
        <v>1</v>
      </c>
      <c r="D249">
        <v>1</v>
      </c>
      <c r="E249">
        <v>40</v>
      </c>
      <c r="F249" t="s">
        <v>92</v>
      </c>
    </row>
    <row r="250" spans="1:6" x14ac:dyDescent="0.2">
      <c r="A250" t="str">
        <f t="shared" si="3"/>
        <v>NHO15_50</v>
      </c>
      <c r="B250">
        <v>1</v>
      </c>
      <c r="C250">
        <v>1</v>
      </c>
      <c r="D250">
        <v>1</v>
      </c>
      <c r="E250">
        <v>50</v>
      </c>
      <c r="F250" t="s">
        <v>92</v>
      </c>
    </row>
    <row r="251" spans="1:6" x14ac:dyDescent="0.2">
      <c r="A251" t="str">
        <f t="shared" si="3"/>
        <v>NHO15_60</v>
      </c>
      <c r="B251">
        <v>0.94</v>
      </c>
      <c r="C251">
        <v>1</v>
      </c>
      <c r="D251">
        <v>1</v>
      </c>
      <c r="E251">
        <v>60</v>
      </c>
      <c r="F251" t="s">
        <v>92</v>
      </c>
    </row>
    <row r="252" spans="1:6" x14ac:dyDescent="0.2">
      <c r="A252" t="str">
        <f t="shared" si="3"/>
        <v>NHO15_70</v>
      </c>
      <c r="B252">
        <v>0.88</v>
      </c>
      <c r="C252">
        <v>1</v>
      </c>
      <c r="D252">
        <v>1</v>
      </c>
      <c r="E252">
        <v>70</v>
      </c>
      <c r="F252" t="s">
        <v>92</v>
      </c>
    </row>
    <row r="253" spans="1:6" x14ac:dyDescent="0.2">
      <c r="A253" t="str">
        <f t="shared" si="3"/>
        <v>NHO15_75</v>
      </c>
      <c r="B253">
        <v>0.85</v>
      </c>
      <c r="C253">
        <v>1</v>
      </c>
      <c r="D253">
        <v>1</v>
      </c>
      <c r="E253">
        <v>75</v>
      </c>
      <c r="F253" t="s">
        <v>92</v>
      </c>
    </row>
    <row r="254" spans="1:6" x14ac:dyDescent="0.2">
      <c r="A254" t="str">
        <f t="shared" si="3"/>
        <v>NHO15_80</v>
      </c>
      <c r="B254">
        <v>0.82</v>
      </c>
      <c r="C254">
        <v>1</v>
      </c>
      <c r="D254">
        <v>1</v>
      </c>
      <c r="E254">
        <v>80</v>
      </c>
      <c r="F254" t="s">
        <v>92</v>
      </c>
    </row>
    <row r="255" spans="1:6" x14ac:dyDescent="0.2">
      <c r="A255" t="str">
        <f t="shared" si="3"/>
        <v>NHO15_90</v>
      </c>
      <c r="B255">
        <v>0.76</v>
      </c>
      <c r="C255">
        <v>1</v>
      </c>
      <c r="D255">
        <v>1</v>
      </c>
      <c r="E255">
        <v>90</v>
      </c>
      <c r="F255" t="s">
        <v>92</v>
      </c>
    </row>
    <row r="256" spans="1:6" x14ac:dyDescent="0.2">
      <c r="A256" t="str">
        <f t="shared" si="3"/>
        <v>NHO15_100</v>
      </c>
      <c r="B256">
        <v>0.7</v>
      </c>
      <c r="C256">
        <v>1</v>
      </c>
      <c r="D256">
        <v>1</v>
      </c>
      <c r="E256">
        <v>100</v>
      </c>
      <c r="F256" t="s">
        <v>92</v>
      </c>
    </row>
    <row r="257" spans="1:6" x14ac:dyDescent="0.2">
      <c r="A257" t="str">
        <f t="shared" si="3"/>
        <v>NHO15_110</v>
      </c>
      <c r="B257">
        <v>0.7</v>
      </c>
      <c r="C257">
        <v>1</v>
      </c>
      <c r="D257">
        <v>0.75</v>
      </c>
      <c r="E257">
        <v>110</v>
      </c>
      <c r="F257" t="s">
        <v>92</v>
      </c>
    </row>
    <row r="258" spans="1:6" x14ac:dyDescent="0.2">
      <c r="A258" t="str">
        <f t="shared" si="3"/>
        <v>NHO15_120</v>
      </c>
      <c r="B258">
        <v>0.7</v>
      </c>
      <c r="C258">
        <v>1</v>
      </c>
      <c r="D258">
        <v>0.5</v>
      </c>
      <c r="E258">
        <v>120</v>
      </c>
      <c r="F258" t="s">
        <v>92</v>
      </c>
    </row>
    <row r="259" spans="1:6" x14ac:dyDescent="0.2">
      <c r="A259" t="str">
        <f t="shared" ref="A259:A338" si="4">IF(F259="","",CONCATENATE(F259,"_",E259))</f>
        <v/>
      </c>
    </row>
    <row r="260" spans="1:6" x14ac:dyDescent="0.2">
      <c r="A260" t="str">
        <f t="shared" si="4"/>
        <v>NGB13_10</v>
      </c>
      <c r="B260">
        <v>1.4</v>
      </c>
      <c r="C260">
        <v>1</v>
      </c>
      <c r="D260">
        <v>1</v>
      </c>
      <c r="E260">
        <v>10</v>
      </c>
      <c r="F260" t="s">
        <v>93</v>
      </c>
    </row>
    <row r="261" spans="1:6" x14ac:dyDescent="0.2">
      <c r="A261" t="str">
        <f t="shared" si="4"/>
        <v>NGB13_20</v>
      </c>
      <c r="B261">
        <v>1.3</v>
      </c>
      <c r="C261">
        <v>1</v>
      </c>
      <c r="D261">
        <v>1</v>
      </c>
      <c r="E261">
        <v>20</v>
      </c>
      <c r="F261" t="s">
        <v>93</v>
      </c>
    </row>
    <row r="262" spans="1:6" x14ac:dyDescent="0.2">
      <c r="A262" t="str">
        <f t="shared" si="4"/>
        <v>NGB13_30</v>
      </c>
      <c r="B262">
        <v>1.2</v>
      </c>
      <c r="C262">
        <v>1</v>
      </c>
      <c r="D262">
        <v>1</v>
      </c>
      <c r="E262">
        <v>30</v>
      </c>
      <c r="F262" t="s">
        <v>93</v>
      </c>
    </row>
    <row r="263" spans="1:6" x14ac:dyDescent="0.2">
      <c r="A263" t="str">
        <f t="shared" si="4"/>
        <v>NGB13_40</v>
      </c>
      <c r="B263">
        <v>1.1000000000000001</v>
      </c>
      <c r="C263">
        <v>1</v>
      </c>
      <c r="D263">
        <v>1</v>
      </c>
      <c r="E263">
        <v>40</v>
      </c>
      <c r="F263" t="s">
        <v>93</v>
      </c>
    </row>
    <row r="264" spans="1:6" x14ac:dyDescent="0.2">
      <c r="A264" t="str">
        <f t="shared" si="4"/>
        <v>NGB13_50</v>
      </c>
      <c r="B264">
        <v>1</v>
      </c>
      <c r="C264">
        <v>1</v>
      </c>
      <c r="D264">
        <v>1</v>
      </c>
      <c r="E264">
        <v>50</v>
      </c>
      <c r="F264" t="s">
        <v>93</v>
      </c>
    </row>
    <row r="265" spans="1:6" x14ac:dyDescent="0.2">
      <c r="A265" t="str">
        <f t="shared" si="4"/>
        <v>NGB13_60</v>
      </c>
      <c r="B265">
        <v>0.94</v>
      </c>
      <c r="C265">
        <v>1</v>
      </c>
      <c r="D265">
        <v>1</v>
      </c>
      <c r="E265">
        <v>60</v>
      </c>
      <c r="F265" t="s">
        <v>93</v>
      </c>
    </row>
    <row r="266" spans="1:6" x14ac:dyDescent="0.2">
      <c r="A266" t="str">
        <f t="shared" si="4"/>
        <v>NGB13_70</v>
      </c>
      <c r="B266">
        <v>0.88</v>
      </c>
      <c r="C266">
        <v>1</v>
      </c>
      <c r="D266">
        <v>1</v>
      </c>
      <c r="E266">
        <v>70</v>
      </c>
      <c r="F266" t="s">
        <v>93</v>
      </c>
    </row>
    <row r="267" spans="1:6" x14ac:dyDescent="0.2">
      <c r="A267" t="str">
        <f t="shared" si="4"/>
        <v>NGB13_75</v>
      </c>
      <c r="B267">
        <v>0.85</v>
      </c>
      <c r="C267">
        <v>1</v>
      </c>
      <c r="D267">
        <v>1</v>
      </c>
      <c r="E267">
        <v>75</v>
      </c>
      <c r="F267" t="s">
        <v>93</v>
      </c>
    </row>
    <row r="268" spans="1:6" x14ac:dyDescent="0.2">
      <c r="A268" t="str">
        <f t="shared" si="4"/>
        <v>NGB13_80</v>
      </c>
      <c r="B268">
        <v>0.82</v>
      </c>
      <c r="C268">
        <v>1</v>
      </c>
      <c r="D268">
        <v>1</v>
      </c>
      <c r="E268">
        <v>80</v>
      </c>
      <c r="F268" t="s">
        <v>93</v>
      </c>
    </row>
    <row r="269" spans="1:6" x14ac:dyDescent="0.2">
      <c r="A269" t="str">
        <f t="shared" si="4"/>
        <v>NGB13_90</v>
      </c>
      <c r="B269">
        <v>0.76</v>
      </c>
      <c r="C269">
        <v>1</v>
      </c>
      <c r="D269">
        <v>1</v>
      </c>
      <c r="E269">
        <v>90</v>
      </c>
      <c r="F269" t="s">
        <v>93</v>
      </c>
    </row>
    <row r="270" spans="1:6" x14ac:dyDescent="0.2">
      <c r="A270" t="str">
        <f t="shared" si="4"/>
        <v>NGB13_100</v>
      </c>
      <c r="B270">
        <v>0.7</v>
      </c>
      <c r="C270">
        <v>1</v>
      </c>
      <c r="D270">
        <v>1</v>
      </c>
      <c r="E270">
        <v>100</v>
      </c>
      <c r="F270" t="s">
        <v>93</v>
      </c>
    </row>
    <row r="271" spans="1:6" x14ac:dyDescent="0.2">
      <c r="A271" t="str">
        <f t="shared" si="4"/>
        <v/>
      </c>
    </row>
    <row r="272" spans="1:6" x14ac:dyDescent="0.2">
      <c r="A272" t="str">
        <f t="shared" si="4"/>
        <v>NBV18_0</v>
      </c>
      <c r="B272">
        <v>1.4</v>
      </c>
      <c r="C272">
        <v>1</v>
      </c>
      <c r="D272">
        <v>1</v>
      </c>
      <c r="E272">
        <v>0</v>
      </c>
      <c r="F272" t="s">
        <v>94</v>
      </c>
    </row>
    <row r="273" spans="1:6" x14ac:dyDescent="0.2">
      <c r="A273" t="str">
        <f t="shared" si="4"/>
        <v>NBV18_30</v>
      </c>
      <c r="B273">
        <v>1.1000000000000001</v>
      </c>
      <c r="C273">
        <v>1</v>
      </c>
      <c r="D273">
        <v>1</v>
      </c>
      <c r="E273">
        <v>30</v>
      </c>
      <c r="F273" t="s">
        <v>94</v>
      </c>
    </row>
    <row r="274" spans="1:6" x14ac:dyDescent="0.2">
      <c r="A274" t="str">
        <f t="shared" si="4"/>
        <v>NBV18_40</v>
      </c>
      <c r="B274">
        <v>1</v>
      </c>
      <c r="C274">
        <v>1</v>
      </c>
      <c r="D274">
        <v>1</v>
      </c>
      <c r="E274">
        <v>40</v>
      </c>
      <c r="F274" t="s">
        <v>94</v>
      </c>
    </row>
    <row r="275" spans="1:6" x14ac:dyDescent="0.2">
      <c r="A275" t="str">
        <f t="shared" si="4"/>
        <v>NBV18_60</v>
      </c>
      <c r="B275">
        <v>0.85</v>
      </c>
      <c r="C275">
        <v>1</v>
      </c>
      <c r="D275">
        <v>1</v>
      </c>
      <c r="E275">
        <v>60</v>
      </c>
      <c r="F275" t="s">
        <v>94</v>
      </c>
    </row>
    <row r="276" spans="1:6" x14ac:dyDescent="0.2">
      <c r="A276" t="str">
        <f t="shared" si="4"/>
        <v>NBV18_80</v>
      </c>
      <c r="B276">
        <v>0.7</v>
      </c>
      <c r="C276">
        <v>1</v>
      </c>
      <c r="D276">
        <v>1</v>
      </c>
      <c r="E276">
        <v>80</v>
      </c>
      <c r="F276" t="s">
        <v>94</v>
      </c>
    </row>
    <row r="277" spans="1:6" x14ac:dyDescent="0.2">
      <c r="A277" t="str">
        <f t="shared" si="4"/>
        <v>NBV18_100</v>
      </c>
      <c r="B277">
        <v>0.55000000000000004</v>
      </c>
      <c r="C277">
        <v>1</v>
      </c>
      <c r="D277">
        <v>1</v>
      </c>
      <c r="E277">
        <v>100</v>
      </c>
      <c r="F277" t="s">
        <v>94</v>
      </c>
    </row>
    <row r="278" spans="1:6" x14ac:dyDescent="0.2">
      <c r="A278" t="str">
        <f t="shared" si="4"/>
        <v/>
      </c>
    </row>
    <row r="279" spans="1:6" x14ac:dyDescent="0.2">
      <c r="A279" t="str">
        <f t="shared" si="4"/>
        <v>NBI18_0</v>
      </c>
      <c r="B279">
        <v>1.4</v>
      </c>
      <c r="C279">
        <v>1</v>
      </c>
      <c r="D279">
        <v>1</v>
      </c>
      <c r="E279">
        <v>0</v>
      </c>
      <c r="F279" t="s">
        <v>95</v>
      </c>
    </row>
    <row r="280" spans="1:6" x14ac:dyDescent="0.2">
      <c r="A280" t="str">
        <f t="shared" si="4"/>
        <v>NBI18_30</v>
      </c>
      <c r="B280">
        <v>1.1000000000000001</v>
      </c>
      <c r="C280">
        <v>1</v>
      </c>
      <c r="D280">
        <v>1</v>
      </c>
      <c r="E280">
        <v>30</v>
      </c>
      <c r="F280" t="s">
        <v>95</v>
      </c>
    </row>
    <row r="281" spans="1:6" x14ac:dyDescent="0.2">
      <c r="A281" t="str">
        <f t="shared" si="4"/>
        <v>NBI18_40</v>
      </c>
      <c r="B281">
        <v>1</v>
      </c>
      <c r="C281">
        <v>1</v>
      </c>
      <c r="D281">
        <v>1</v>
      </c>
      <c r="E281">
        <v>40</v>
      </c>
      <c r="F281" t="s">
        <v>95</v>
      </c>
    </row>
    <row r="282" spans="1:6" x14ac:dyDescent="0.2">
      <c r="A282" t="str">
        <f t="shared" si="4"/>
        <v>NBI18_60</v>
      </c>
      <c r="B282">
        <v>0.85</v>
      </c>
      <c r="C282">
        <v>1</v>
      </c>
      <c r="D282">
        <v>1</v>
      </c>
      <c r="E282">
        <v>60</v>
      </c>
      <c r="F282" t="s">
        <v>95</v>
      </c>
    </row>
    <row r="283" spans="1:6" x14ac:dyDescent="0.2">
      <c r="A283" t="str">
        <f t="shared" si="4"/>
        <v>NBI18_80</v>
      </c>
      <c r="B283">
        <v>0.7</v>
      </c>
      <c r="C283">
        <v>1</v>
      </c>
      <c r="D283">
        <v>1</v>
      </c>
      <c r="E283">
        <v>80</v>
      </c>
      <c r="F283" t="s">
        <v>95</v>
      </c>
    </row>
    <row r="284" spans="1:6" x14ac:dyDescent="0.2">
      <c r="A284" t="str">
        <f t="shared" si="4"/>
        <v>NBI18_100</v>
      </c>
      <c r="B284">
        <v>0.55000000000000004</v>
      </c>
      <c r="C284">
        <v>1</v>
      </c>
      <c r="D284">
        <v>1</v>
      </c>
      <c r="E284">
        <v>100</v>
      </c>
      <c r="F284" t="s">
        <v>95</v>
      </c>
    </row>
    <row r="285" spans="1:6" x14ac:dyDescent="0.2">
      <c r="A285" t="str">
        <f t="shared" si="4"/>
        <v/>
      </c>
    </row>
    <row r="286" spans="1:6" x14ac:dyDescent="0.2">
      <c r="A286" t="str">
        <f t="shared" si="4"/>
        <v>NWO18_0</v>
      </c>
      <c r="B286">
        <v>1.4</v>
      </c>
      <c r="C286">
        <v>1</v>
      </c>
      <c r="D286">
        <v>1</v>
      </c>
      <c r="E286">
        <v>0</v>
      </c>
      <c r="F286" t="s">
        <v>96</v>
      </c>
    </row>
    <row r="287" spans="1:6" x14ac:dyDescent="0.2">
      <c r="A287" t="str">
        <f t="shared" si="4"/>
        <v>NWO18_30</v>
      </c>
      <c r="B287">
        <v>1.1000000000000001</v>
      </c>
      <c r="C287">
        <v>1</v>
      </c>
      <c r="D287">
        <v>1</v>
      </c>
      <c r="E287">
        <v>30</v>
      </c>
      <c r="F287" t="s">
        <v>96</v>
      </c>
    </row>
    <row r="288" spans="1:6" x14ac:dyDescent="0.2">
      <c r="A288" t="str">
        <f t="shared" si="4"/>
        <v>NWO18_40</v>
      </c>
      <c r="B288">
        <v>1</v>
      </c>
      <c r="C288">
        <v>1</v>
      </c>
      <c r="D288">
        <v>1</v>
      </c>
      <c r="E288">
        <v>40</v>
      </c>
      <c r="F288" t="s">
        <v>96</v>
      </c>
    </row>
    <row r="289" spans="1:6" x14ac:dyDescent="0.2">
      <c r="A289" t="str">
        <f t="shared" si="4"/>
        <v>NWO18_60</v>
      </c>
      <c r="B289">
        <v>0.85</v>
      </c>
      <c r="C289">
        <v>1</v>
      </c>
      <c r="D289">
        <v>1</v>
      </c>
      <c r="E289">
        <v>60</v>
      </c>
      <c r="F289" t="s">
        <v>96</v>
      </c>
    </row>
    <row r="290" spans="1:6" x14ac:dyDescent="0.2">
      <c r="A290" t="str">
        <f t="shared" si="4"/>
        <v>NWO18_80</v>
      </c>
      <c r="B290">
        <v>0.7</v>
      </c>
      <c r="C290">
        <v>1</v>
      </c>
      <c r="D290">
        <v>1</v>
      </c>
      <c r="E290">
        <v>80</v>
      </c>
      <c r="F290" t="s">
        <v>96</v>
      </c>
    </row>
    <row r="291" spans="1:6" x14ac:dyDescent="0.2">
      <c r="A291" t="str">
        <f t="shared" si="4"/>
        <v>NWO18_100</v>
      </c>
      <c r="B291">
        <v>0.55000000000000004</v>
      </c>
      <c r="C291">
        <v>1</v>
      </c>
      <c r="D291">
        <v>1</v>
      </c>
      <c r="E291">
        <v>100</v>
      </c>
      <c r="F291" t="s">
        <v>96</v>
      </c>
    </row>
    <row r="292" spans="1:6" x14ac:dyDescent="0.2">
      <c r="A292" t="str">
        <f t="shared" si="4"/>
        <v/>
      </c>
    </row>
    <row r="293" spans="1:6" x14ac:dyDescent="0.2">
      <c r="A293" t="str">
        <f t="shared" si="4"/>
        <v>NHO18_0</v>
      </c>
      <c r="B293">
        <v>1.4</v>
      </c>
      <c r="C293">
        <v>1</v>
      </c>
      <c r="D293">
        <v>1</v>
      </c>
      <c r="E293">
        <v>0</v>
      </c>
      <c r="F293" t="s">
        <v>97</v>
      </c>
    </row>
    <row r="294" spans="1:6" x14ac:dyDescent="0.2">
      <c r="A294" t="str">
        <f t="shared" si="4"/>
        <v>NHO18_30</v>
      </c>
      <c r="B294">
        <v>1.1000000000000001</v>
      </c>
      <c r="C294">
        <v>1</v>
      </c>
      <c r="D294">
        <v>1</v>
      </c>
      <c r="E294">
        <v>30</v>
      </c>
      <c r="F294" t="s">
        <v>97</v>
      </c>
    </row>
    <row r="295" spans="1:6" x14ac:dyDescent="0.2">
      <c r="A295" t="str">
        <f t="shared" si="4"/>
        <v>NHO18_40</v>
      </c>
      <c r="B295">
        <v>1</v>
      </c>
      <c r="C295">
        <v>1</v>
      </c>
      <c r="D295">
        <v>1</v>
      </c>
      <c r="E295">
        <v>40</v>
      </c>
      <c r="F295" t="s">
        <v>97</v>
      </c>
    </row>
    <row r="296" spans="1:6" x14ac:dyDescent="0.2">
      <c r="A296" t="str">
        <f t="shared" si="4"/>
        <v>NHO18_60</v>
      </c>
      <c r="B296">
        <v>0.85</v>
      </c>
      <c r="C296">
        <v>1</v>
      </c>
      <c r="D296">
        <v>1</v>
      </c>
      <c r="E296">
        <v>60</v>
      </c>
      <c r="F296" t="s">
        <v>97</v>
      </c>
    </row>
    <row r="297" spans="1:6" x14ac:dyDescent="0.2">
      <c r="A297" t="str">
        <f t="shared" si="4"/>
        <v>NHO18_80</v>
      </c>
      <c r="B297">
        <v>0.7</v>
      </c>
      <c r="C297">
        <v>1</v>
      </c>
      <c r="D297">
        <v>1</v>
      </c>
      <c r="E297">
        <v>80</v>
      </c>
      <c r="F297" t="s">
        <v>97</v>
      </c>
    </row>
    <row r="298" spans="1:6" x14ac:dyDescent="0.2">
      <c r="A298" t="str">
        <f t="shared" si="4"/>
        <v>NHO18_100</v>
      </c>
      <c r="B298">
        <v>0.55000000000000004</v>
      </c>
      <c r="C298">
        <v>1</v>
      </c>
      <c r="D298">
        <v>1</v>
      </c>
      <c r="E298">
        <v>100</v>
      </c>
      <c r="F298" t="s">
        <v>97</v>
      </c>
    </row>
    <row r="299" spans="1:6" x14ac:dyDescent="0.2">
      <c r="A299" t="str">
        <f t="shared" si="4"/>
        <v/>
      </c>
    </row>
    <row r="300" spans="1:6" x14ac:dyDescent="0.2">
      <c r="A300" t="str">
        <f t="shared" si="4"/>
        <v>NVM18_0</v>
      </c>
      <c r="B300">
        <v>1.4</v>
      </c>
      <c r="C300">
        <v>1</v>
      </c>
      <c r="D300">
        <v>1</v>
      </c>
      <c r="E300">
        <v>0</v>
      </c>
      <c r="F300" t="s">
        <v>98</v>
      </c>
    </row>
    <row r="301" spans="1:6" x14ac:dyDescent="0.2">
      <c r="A301" t="str">
        <f t="shared" si="4"/>
        <v>NVM18_30</v>
      </c>
      <c r="B301">
        <v>1.1000000000000001</v>
      </c>
      <c r="C301">
        <v>1</v>
      </c>
      <c r="D301">
        <v>1</v>
      </c>
      <c r="E301">
        <v>30</v>
      </c>
      <c r="F301" t="s">
        <v>98</v>
      </c>
    </row>
    <row r="302" spans="1:6" x14ac:dyDescent="0.2">
      <c r="A302" t="str">
        <f t="shared" si="4"/>
        <v>NVM18_40</v>
      </c>
      <c r="B302">
        <v>1</v>
      </c>
      <c r="C302">
        <v>1</v>
      </c>
      <c r="D302">
        <v>1</v>
      </c>
      <c r="E302">
        <v>40</v>
      </c>
      <c r="F302" t="s">
        <v>98</v>
      </c>
    </row>
    <row r="303" spans="1:6" x14ac:dyDescent="0.2">
      <c r="A303" t="str">
        <f t="shared" si="4"/>
        <v>NVM18_60</v>
      </c>
      <c r="B303">
        <v>0.85</v>
      </c>
      <c r="C303">
        <v>1</v>
      </c>
      <c r="D303">
        <v>1</v>
      </c>
      <c r="E303">
        <v>60</v>
      </c>
      <c r="F303" t="s">
        <v>98</v>
      </c>
    </row>
    <row r="304" spans="1:6" x14ac:dyDescent="0.2">
      <c r="A304" t="str">
        <f t="shared" si="4"/>
        <v>NVM18_80</v>
      </c>
      <c r="B304">
        <v>0.7</v>
      </c>
      <c r="C304">
        <v>1</v>
      </c>
      <c r="D304">
        <v>1</v>
      </c>
      <c r="E304">
        <v>80</v>
      </c>
      <c r="F304" t="s">
        <v>98</v>
      </c>
    </row>
    <row r="305" spans="1:6" x14ac:dyDescent="0.2">
      <c r="A305" t="str">
        <f t="shared" si="4"/>
        <v>NVM18_100</v>
      </c>
      <c r="B305">
        <v>0.55000000000000004</v>
      </c>
      <c r="C305">
        <v>1</v>
      </c>
      <c r="D305">
        <v>1</v>
      </c>
      <c r="E305">
        <v>100</v>
      </c>
      <c r="F305" t="s">
        <v>98</v>
      </c>
    </row>
    <row r="306" spans="1:6" x14ac:dyDescent="0.2">
      <c r="A306" t="str">
        <f t="shared" si="4"/>
        <v/>
      </c>
    </row>
    <row r="307" spans="1:6" x14ac:dyDescent="0.2">
      <c r="A307" t="str">
        <f t="shared" si="4"/>
        <v>NSC18_0</v>
      </c>
      <c r="B307">
        <v>1.4</v>
      </c>
      <c r="C307">
        <v>1</v>
      </c>
      <c r="D307">
        <v>1</v>
      </c>
      <c r="E307">
        <v>0</v>
      </c>
      <c r="F307" t="s">
        <v>99</v>
      </c>
    </row>
    <row r="308" spans="1:6" x14ac:dyDescent="0.2">
      <c r="A308" t="str">
        <f t="shared" si="4"/>
        <v>NSC18_30</v>
      </c>
      <c r="B308">
        <v>1.1000000000000001</v>
      </c>
      <c r="C308">
        <v>1</v>
      </c>
      <c r="D308">
        <v>1</v>
      </c>
      <c r="E308">
        <v>30</v>
      </c>
      <c r="F308" t="s">
        <v>99</v>
      </c>
    </row>
    <row r="309" spans="1:6" x14ac:dyDescent="0.2">
      <c r="A309" t="str">
        <f t="shared" si="4"/>
        <v>NSC18_40</v>
      </c>
      <c r="B309">
        <v>1</v>
      </c>
      <c r="C309">
        <v>1</v>
      </c>
      <c r="D309">
        <v>1</v>
      </c>
      <c r="E309">
        <v>40</v>
      </c>
      <c r="F309" t="s">
        <v>99</v>
      </c>
    </row>
    <row r="310" spans="1:6" x14ac:dyDescent="0.2">
      <c r="A310" t="str">
        <f t="shared" si="4"/>
        <v>NSC18_60</v>
      </c>
      <c r="B310">
        <v>0.85</v>
      </c>
      <c r="C310">
        <v>1</v>
      </c>
      <c r="D310">
        <v>1</v>
      </c>
      <c r="E310">
        <v>60</v>
      </c>
      <c r="F310" t="s">
        <v>99</v>
      </c>
    </row>
    <row r="311" spans="1:6" x14ac:dyDescent="0.2">
      <c r="A311" t="str">
        <f t="shared" si="4"/>
        <v>NSC18_80</v>
      </c>
      <c r="B311">
        <v>0.7</v>
      </c>
      <c r="C311">
        <v>1</v>
      </c>
      <c r="D311">
        <v>1</v>
      </c>
      <c r="E311">
        <v>80</v>
      </c>
      <c r="F311" t="s">
        <v>99</v>
      </c>
    </row>
    <row r="312" spans="1:6" x14ac:dyDescent="0.2">
      <c r="A312" t="str">
        <f t="shared" si="4"/>
        <v>NSC18_100</v>
      </c>
      <c r="B312">
        <v>0.55000000000000004</v>
      </c>
      <c r="C312">
        <v>1</v>
      </c>
      <c r="D312">
        <v>1</v>
      </c>
      <c r="E312">
        <v>100</v>
      </c>
      <c r="F312" t="s">
        <v>99</v>
      </c>
    </row>
    <row r="313" spans="1:6" x14ac:dyDescent="0.2">
      <c r="A313" t="str">
        <f t="shared" si="4"/>
        <v/>
      </c>
    </row>
    <row r="314" spans="1:6" x14ac:dyDescent="0.2">
      <c r="A314" t="str">
        <f t="shared" si="4"/>
        <v>NGH18_0</v>
      </c>
      <c r="B314">
        <v>1.4</v>
      </c>
      <c r="C314">
        <v>1</v>
      </c>
      <c r="D314">
        <v>1</v>
      </c>
      <c r="E314">
        <v>0</v>
      </c>
      <c r="F314" t="s">
        <v>100</v>
      </c>
    </row>
    <row r="315" spans="1:6" x14ac:dyDescent="0.2">
      <c r="A315" t="str">
        <f t="shared" si="4"/>
        <v>NGH18_30</v>
      </c>
      <c r="B315">
        <v>1.1000000000000001</v>
      </c>
      <c r="C315">
        <v>1</v>
      </c>
      <c r="D315">
        <v>1</v>
      </c>
      <c r="E315">
        <v>30</v>
      </c>
      <c r="F315" t="s">
        <v>100</v>
      </c>
    </row>
    <row r="316" spans="1:6" x14ac:dyDescent="0.2">
      <c r="A316" t="str">
        <f t="shared" si="4"/>
        <v>NGH18_40</v>
      </c>
      <c r="B316">
        <v>1</v>
      </c>
      <c r="C316">
        <v>1</v>
      </c>
      <c r="D316">
        <v>1</v>
      </c>
      <c r="E316">
        <v>40</v>
      </c>
      <c r="F316" t="s">
        <v>100</v>
      </c>
    </row>
    <row r="317" spans="1:6" x14ac:dyDescent="0.2">
      <c r="A317" t="str">
        <f t="shared" si="4"/>
        <v>NGH18_60</v>
      </c>
      <c r="B317">
        <v>0.85</v>
      </c>
      <c r="C317">
        <v>1</v>
      </c>
      <c r="D317">
        <v>1</v>
      </c>
      <c r="E317">
        <v>60</v>
      </c>
      <c r="F317" t="s">
        <v>100</v>
      </c>
    </row>
    <row r="318" spans="1:6" x14ac:dyDescent="0.2">
      <c r="A318" t="str">
        <f t="shared" si="4"/>
        <v>NGH18_80</v>
      </c>
      <c r="B318">
        <v>0.7</v>
      </c>
      <c r="C318">
        <v>1</v>
      </c>
      <c r="D318">
        <v>1</v>
      </c>
      <c r="E318">
        <v>80</v>
      </c>
      <c r="F318" t="s">
        <v>100</v>
      </c>
    </row>
    <row r="319" spans="1:6" x14ac:dyDescent="0.2">
      <c r="A319" t="str">
        <f t="shared" si="4"/>
        <v>NGH18_100</v>
      </c>
      <c r="B319">
        <v>0.55000000000000004</v>
      </c>
      <c r="C319">
        <v>1</v>
      </c>
      <c r="D319">
        <v>1</v>
      </c>
      <c r="E319">
        <v>100</v>
      </c>
      <c r="F319" t="s">
        <v>100</v>
      </c>
    </row>
    <row r="320" spans="1:6" x14ac:dyDescent="0.2">
      <c r="A320" t="str">
        <f t="shared" si="4"/>
        <v/>
      </c>
    </row>
    <row r="321" spans="1:6" x14ac:dyDescent="0.2">
      <c r="A321" t="str">
        <f t="shared" si="4"/>
        <v>NLO18_0</v>
      </c>
      <c r="B321">
        <v>1.4</v>
      </c>
      <c r="C321">
        <v>1</v>
      </c>
      <c r="D321">
        <v>1</v>
      </c>
      <c r="E321">
        <v>0</v>
      </c>
      <c r="F321" t="s">
        <v>79</v>
      </c>
    </row>
    <row r="322" spans="1:6" x14ac:dyDescent="0.2">
      <c r="A322" t="str">
        <f t="shared" si="4"/>
        <v>NLO18_30</v>
      </c>
      <c r="B322">
        <v>1.1000000000000001</v>
      </c>
      <c r="C322">
        <v>1</v>
      </c>
      <c r="D322">
        <v>1</v>
      </c>
      <c r="E322">
        <v>30</v>
      </c>
      <c r="F322" t="s">
        <v>79</v>
      </c>
    </row>
    <row r="323" spans="1:6" x14ac:dyDescent="0.2">
      <c r="A323" t="str">
        <f t="shared" si="4"/>
        <v>NLO18_40</v>
      </c>
      <c r="B323">
        <v>1</v>
      </c>
      <c r="C323">
        <v>1</v>
      </c>
      <c r="D323">
        <v>1</v>
      </c>
      <c r="E323">
        <v>40</v>
      </c>
      <c r="F323" t="s">
        <v>79</v>
      </c>
    </row>
    <row r="324" spans="1:6" x14ac:dyDescent="0.2">
      <c r="A324" t="str">
        <f t="shared" si="4"/>
        <v>NLO18_60</v>
      </c>
      <c r="B324">
        <v>0.85</v>
      </c>
      <c r="C324">
        <v>1</v>
      </c>
      <c r="D324">
        <v>1</v>
      </c>
      <c r="E324">
        <v>60</v>
      </c>
      <c r="F324" t="s">
        <v>79</v>
      </c>
    </row>
    <row r="325" spans="1:6" x14ac:dyDescent="0.2">
      <c r="A325" t="str">
        <f t="shared" si="4"/>
        <v>NLO18_80</v>
      </c>
      <c r="B325">
        <v>0.7</v>
      </c>
      <c r="C325">
        <v>1</v>
      </c>
      <c r="D325">
        <v>1</v>
      </c>
      <c r="E325">
        <v>80</v>
      </c>
      <c r="F325" t="s">
        <v>79</v>
      </c>
    </row>
    <row r="326" spans="1:6" x14ac:dyDescent="0.2">
      <c r="A326" t="str">
        <f t="shared" si="4"/>
        <v>NLO18_100</v>
      </c>
      <c r="B326">
        <v>0.55000000000000004</v>
      </c>
      <c r="C326">
        <v>1</v>
      </c>
      <c r="D326">
        <v>1</v>
      </c>
      <c r="E326">
        <v>100</v>
      </c>
      <c r="F326" t="s">
        <v>79</v>
      </c>
    </row>
    <row r="327" spans="1:6" x14ac:dyDescent="0.2">
      <c r="A327" t="str">
        <f t="shared" si="4"/>
        <v/>
      </c>
    </row>
    <row r="328" spans="1:6" x14ac:dyDescent="0.2">
      <c r="A328" t="str">
        <f t="shared" si="4"/>
        <v>NPS18_0</v>
      </c>
      <c r="B328">
        <v>1.4</v>
      </c>
      <c r="C328">
        <v>1</v>
      </c>
      <c r="D328">
        <v>1</v>
      </c>
      <c r="E328">
        <v>0</v>
      </c>
      <c r="F328" t="s">
        <v>81</v>
      </c>
    </row>
    <row r="329" spans="1:6" x14ac:dyDescent="0.2">
      <c r="A329" t="str">
        <f t="shared" si="4"/>
        <v>NPS18_40</v>
      </c>
      <c r="B329">
        <v>1</v>
      </c>
      <c r="C329">
        <v>1</v>
      </c>
      <c r="D329">
        <v>1</v>
      </c>
      <c r="E329">
        <v>40</v>
      </c>
      <c r="F329" t="s">
        <v>81</v>
      </c>
    </row>
    <row r="330" spans="1:6" x14ac:dyDescent="0.2">
      <c r="A330" t="str">
        <f t="shared" si="4"/>
        <v>NPS18_80</v>
      </c>
      <c r="B330">
        <v>0.7</v>
      </c>
      <c r="C330">
        <v>1</v>
      </c>
      <c r="D330">
        <v>1</v>
      </c>
      <c r="E330">
        <v>80</v>
      </c>
      <c r="F330" t="s">
        <v>81</v>
      </c>
    </row>
    <row r="331" spans="1:6" x14ac:dyDescent="0.2">
      <c r="A331" t="str">
        <f t="shared" si="4"/>
        <v>NPS18_100</v>
      </c>
      <c r="B331">
        <v>0.55000000000000004</v>
      </c>
      <c r="C331">
        <v>1</v>
      </c>
      <c r="D331">
        <v>1</v>
      </c>
      <c r="E331">
        <v>100</v>
      </c>
      <c r="F331" t="s">
        <v>81</v>
      </c>
    </row>
    <row r="332" spans="1:6" x14ac:dyDescent="0.2">
      <c r="A332" t="str">
        <f t="shared" si="4"/>
        <v/>
      </c>
    </row>
    <row r="333" spans="1:6" x14ac:dyDescent="0.2">
      <c r="A333" t="str">
        <f t="shared" si="4"/>
        <v>NSH17_10</v>
      </c>
      <c r="B333">
        <v>1.4</v>
      </c>
      <c r="C333">
        <v>1</v>
      </c>
      <c r="D333">
        <v>1</v>
      </c>
      <c r="E333">
        <v>10</v>
      </c>
      <c r="F333" t="s">
        <v>101</v>
      </c>
    </row>
    <row r="334" spans="1:6" x14ac:dyDescent="0.2">
      <c r="A334" t="str">
        <f t="shared" si="4"/>
        <v>NSH17_20</v>
      </c>
      <c r="B334">
        <v>1.3</v>
      </c>
      <c r="C334">
        <v>1</v>
      </c>
      <c r="D334">
        <v>1</v>
      </c>
      <c r="E334">
        <v>20</v>
      </c>
      <c r="F334" t="s">
        <v>101</v>
      </c>
    </row>
    <row r="335" spans="1:6" x14ac:dyDescent="0.2">
      <c r="A335" t="str">
        <f t="shared" si="4"/>
        <v>NSH17_30</v>
      </c>
      <c r="B335">
        <v>1.2</v>
      </c>
      <c r="C335">
        <v>1</v>
      </c>
      <c r="D335">
        <v>1</v>
      </c>
      <c r="E335">
        <v>30</v>
      </c>
      <c r="F335" t="s">
        <v>101</v>
      </c>
    </row>
    <row r="336" spans="1:6" x14ac:dyDescent="0.2">
      <c r="A336" t="str">
        <f t="shared" si="4"/>
        <v>NSH17_40</v>
      </c>
      <c r="B336">
        <v>1.1000000000000001</v>
      </c>
      <c r="C336">
        <v>1</v>
      </c>
      <c r="D336">
        <v>1</v>
      </c>
      <c r="E336">
        <v>40</v>
      </c>
      <c r="F336" t="s">
        <v>101</v>
      </c>
    </row>
    <row r="337" spans="1:6" x14ac:dyDescent="0.2">
      <c r="A337" t="str">
        <f t="shared" si="4"/>
        <v>NSH17_50</v>
      </c>
      <c r="B337">
        <v>1</v>
      </c>
      <c r="C337">
        <v>1</v>
      </c>
      <c r="D337">
        <v>1</v>
      </c>
      <c r="E337">
        <v>50</v>
      </c>
      <c r="F337" t="s">
        <v>101</v>
      </c>
    </row>
    <row r="338" spans="1:6" x14ac:dyDescent="0.2">
      <c r="A338" t="str">
        <f t="shared" si="4"/>
        <v>NSH17_60</v>
      </c>
      <c r="B338">
        <v>0.94</v>
      </c>
      <c r="C338">
        <v>1</v>
      </c>
      <c r="D338">
        <v>1</v>
      </c>
      <c r="E338">
        <v>60</v>
      </c>
      <c r="F338" t="s">
        <v>101</v>
      </c>
    </row>
    <row r="339" spans="1:6" x14ac:dyDescent="0.2">
      <c r="A339" t="str">
        <f t="shared" ref="A339:A412" si="5">IF(F339="","",CONCATENATE(F339,"_",E339))</f>
        <v>NSH17_70</v>
      </c>
      <c r="B339">
        <v>0.88</v>
      </c>
      <c r="C339">
        <v>1</v>
      </c>
      <c r="D339">
        <v>1</v>
      </c>
      <c r="E339">
        <v>70</v>
      </c>
      <c r="F339" t="s">
        <v>101</v>
      </c>
    </row>
    <row r="340" spans="1:6" x14ac:dyDescent="0.2">
      <c r="A340" t="str">
        <f t="shared" si="5"/>
        <v>NSH17_75</v>
      </c>
      <c r="B340">
        <v>0.85</v>
      </c>
      <c r="C340">
        <v>1</v>
      </c>
      <c r="D340">
        <v>1</v>
      </c>
      <c r="E340">
        <v>75</v>
      </c>
      <c r="F340" t="s">
        <v>101</v>
      </c>
    </row>
    <row r="341" spans="1:6" x14ac:dyDescent="0.2">
      <c r="A341" t="str">
        <f t="shared" si="5"/>
        <v>NSH17_80</v>
      </c>
      <c r="B341">
        <v>0.82</v>
      </c>
      <c r="C341">
        <v>1</v>
      </c>
      <c r="D341">
        <v>1</v>
      </c>
      <c r="E341">
        <v>80</v>
      </c>
      <c r="F341" t="s">
        <v>101</v>
      </c>
    </row>
    <row r="342" spans="1:6" x14ac:dyDescent="0.2">
      <c r="A342" t="str">
        <f t="shared" si="5"/>
        <v>NSH17_90</v>
      </c>
      <c r="B342">
        <v>0.76</v>
      </c>
      <c r="C342">
        <v>1</v>
      </c>
      <c r="D342">
        <v>1</v>
      </c>
      <c r="E342">
        <v>90</v>
      </c>
      <c r="F342" t="s">
        <v>101</v>
      </c>
    </row>
    <row r="343" spans="1:6" x14ac:dyDescent="0.2">
      <c r="A343" t="str">
        <f t="shared" si="5"/>
        <v>NSH17_100</v>
      </c>
      <c r="B343">
        <v>0.7</v>
      </c>
      <c r="C343">
        <v>1</v>
      </c>
      <c r="D343">
        <v>1</v>
      </c>
      <c r="E343">
        <v>100</v>
      </c>
      <c r="F343" t="s">
        <v>101</v>
      </c>
    </row>
    <row r="344" spans="1:6" x14ac:dyDescent="0.2">
      <c r="A344" t="str">
        <f t="shared" si="5"/>
        <v>NSH17_110</v>
      </c>
      <c r="B344">
        <v>0.7</v>
      </c>
      <c r="C344">
        <v>1</v>
      </c>
      <c r="D344">
        <v>0.75</v>
      </c>
      <c r="E344">
        <v>110</v>
      </c>
      <c r="F344" t="s">
        <v>101</v>
      </c>
    </row>
    <row r="345" spans="1:6" x14ac:dyDescent="0.2">
      <c r="A345" t="str">
        <f t="shared" si="5"/>
        <v>NSH17_120</v>
      </c>
      <c r="B345">
        <v>0.7</v>
      </c>
      <c r="C345">
        <v>1</v>
      </c>
      <c r="D345">
        <v>0.5</v>
      </c>
      <c r="E345">
        <v>120</v>
      </c>
      <c r="F345" t="s">
        <v>101</v>
      </c>
    </row>
    <row r="346" spans="1:6" x14ac:dyDescent="0.2">
      <c r="A346" t="str">
        <f t="shared" si="5"/>
        <v/>
      </c>
    </row>
    <row r="347" spans="1:6" x14ac:dyDescent="0.2">
      <c r="A347" t="str">
        <f t="shared" si="5"/>
        <v>NPH18_0</v>
      </c>
      <c r="B347">
        <v>1.4</v>
      </c>
      <c r="C347">
        <v>1</v>
      </c>
      <c r="D347">
        <v>1</v>
      </c>
      <c r="E347">
        <v>0</v>
      </c>
      <c r="F347" s="49" t="s">
        <v>171</v>
      </c>
    </row>
    <row r="348" spans="1:6" x14ac:dyDescent="0.2">
      <c r="A348" t="str">
        <f t="shared" si="5"/>
        <v>NPH18_20</v>
      </c>
      <c r="B348">
        <v>1</v>
      </c>
      <c r="C348">
        <v>1</v>
      </c>
      <c r="D348">
        <v>1</v>
      </c>
      <c r="E348">
        <v>20</v>
      </c>
      <c r="F348" s="49" t="s">
        <v>171</v>
      </c>
    </row>
    <row r="349" spans="1:6" x14ac:dyDescent="0.2">
      <c r="A349" t="str">
        <f t="shared" si="5"/>
        <v>NPH18_40</v>
      </c>
      <c r="B349">
        <v>0.7</v>
      </c>
      <c r="C349">
        <v>1</v>
      </c>
      <c r="D349">
        <v>1</v>
      </c>
      <c r="E349">
        <v>40</v>
      </c>
      <c r="F349" s="49" t="s">
        <v>171</v>
      </c>
    </row>
    <row r="350" spans="1:6" x14ac:dyDescent="0.2">
      <c r="A350" t="str">
        <f t="shared" si="5"/>
        <v>NPH18_50</v>
      </c>
      <c r="B350">
        <v>0.55000000000000004</v>
      </c>
      <c r="C350">
        <v>1</v>
      </c>
      <c r="D350">
        <v>1</v>
      </c>
      <c r="E350">
        <v>50</v>
      </c>
      <c r="F350" s="49" t="s">
        <v>171</v>
      </c>
    </row>
    <row r="351" spans="1:6" x14ac:dyDescent="0.2">
      <c r="F351" s="49"/>
    </row>
    <row r="352" spans="1:6" x14ac:dyDescent="0.2">
      <c r="A352" t="str">
        <f t="shared" ref="A352:A360" si="6">IF(F352="","",CONCATENATE(F352,"_",E352))</f>
        <v>NVS18_Typ1_0</v>
      </c>
      <c r="B352">
        <v>1.4</v>
      </c>
      <c r="C352">
        <v>1</v>
      </c>
      <c r="D352">
        <v>1</v>
      </c>
      <c r="E352" s="49">
        <v>0</v>
      </c>
      <c r="F352" s="49" t="s">
        <v>204</v>
      </c>
    </row>
    <row r="353" spans="1:6" x14ac:dyDescent="0.2">
      <c r="A353" t="str">
        <f t="shared" si="6"/>
        <v>NVS18_Typ1_30</v>
      </c>
      <c r="B353">
        <v>1</v>
      </c>
      <c r="C353">
        <v>1</v>
      </c>
      <c r="D353">
        <v>1</v>
      </c>
      <c r="E353" s="49">
        <v>30</v>
      </c>
      <c r="F353" s="49" t="s">
        <v>204</v>
      </c>
    </row>
    <row r="354" spans="1:6" x14ac:dyDescent="0.2">
      <c r="A354" t="str">
        <f t="shared" si="6"/>
        <v>NVS18_Typ1_60</v>
      </c>
      <c r="B354">
        <v>0.7</v>
      </c>
      <c r="C354">
        <v>1</v>
      </c>
      <c r="D354">
        <v>1</v>
      </c>
      <c r="E354" s="49">
        <v>60</v>
      </c>
      <c r="F354" s="49" t="s">
        <v>204</v>
      </c>
    </row>
    <row r="355" spans="1:6" x14ac:dyDescent="0.2">
      <c r="A355" t="str">
        <f t="shared" si="6"/>
        <v>NVS18_Typ1_80</v>
      </c>
      <c r="B355">
        <v>0.55000000000000004</v>
      </c>
      <c r="C355">
        <v>1</v>
      </c>
      <c r="D355">
        <v>1</v>
      </c>
      <c r="E355" s="49">
        <v>80</v>
      </c>
      <c r="F355" s="49" t="s">
        <v>204</v>
      </c>
    </row>
    <row r="356" spans="1:6" x14ac:dyDescent="0.2">
      <c r="A356" t="str">
        <f t="shared" si="6"/>
        <v/>
      </c>
      <c r="D356" s="47"/>
    </row>
    <row r="357" spans="1:6" x14ac:dyDescent="0.2">
      <c r="A357" t="str">
        <f t="shared" si="6"/>
        <v>NVS18_Typ2_0</v>
      </c>
      <c r="B357">
        <v>1.4</v>
      </c>
      <c r="C357">
        <v>1</v>
      </c>
      <c r="D357">
        <v>1</v>
      </c>
      <c r="E357" s="49">
        <v>0</v>
      </c>
      <c r="F357" s="49" t="s">
        <v>205</v>
      </c>
    </row>
    <row r="358" spans="1:6" x14ac:dyDescent="0.2">
      <c r="A358" t="str">
        <f t="shared" si="6"/>
        <v>NVS18_Typ2_30</v>
      </c>
      <c r="B358">
        <v>1</v>
      </c>
      <c r="C358">
        <v>1</v>
      </c>
      <c r="D358">
        <v>1</v>
      </c>
      <c r="E358" s="49">
        <v>30</v>
      </c>
      <c r="F358" s="49" t="s">
        <v>205</v>
      </c>
    </row>
    <row r="359" spans="1:6" x14ac:dyDescent="0.2">
      <c r="A359" t="str">
        <f t="shared" si="6"/>
        <v>NVS18_Typ2_60</v>
      </c>
      <c r="B359">
        <v>0.7</v>
      </c>
      <c r="C359">
        <v>1</v>
      </c>
      <c r="D359">
        <v>1</v>
      </c>
      <c r="E359" s="49">
        <v>60</v>
      </c>
      <c r="F359" s="49" t="s">
        <v>205</v>
      </c>
    </row>
    <row r="360" spans="1:6" x14ac:dyDescent="0.2">
      <c r="A360" t="str">
        <f t="shared" si="6"/>
        <v>NVS18_Typ2_80</v>
      </c>
      <c r="B360">
        <v>0.55000000000000004</v>
      </c>
      <c r="C360">
        <v>1</v>
      </c>
      <c r="D360">
        <v>1</v>
      </c>
      <c r="E360" s="49">
        <v>80</v>
      </c>
      <c r="F360" s="49" t="s">
        <v>205</v>
      </c>
    </row>
    <row r="361" spans="1:6" x14ac:dyDescent="0.2">
      <c r="A361" t="str">
        <f t="shared" si="5"/>
        <v/>
      </c>
    </row>
    <row r="362" spans="1:6" x14ac:dyDescent="0.2">
      <c r="A362" t="str">
        <f t="shared" si="5"/>
        <v>MIX12_0</v>
      </c>
      <c r="B362">
        <f>IF('DGNB LCA Results'!$P$4=4,VLOOKUP(CONCATENATE('DGNB LCA Results'!$M$3,"_",E362), $A$2:$F$350,2,FALSE)*'DGNB LCA Results'!$N$3+
                                                                  VLOOKUP(CONCATENATE('DGNB LCA Results'!$K$3,"_",E362), $A$2:$F$350,2,FALSE)*'DGNB LCA Results'!$L$3+
                                                                  VLOOKUP(CONCATENATE('DGNB LCA Results'!$I$3,"_",E362), $A$2:$F$350,2,FALSE)*'DGNB LCA Results'!$J$3+
                                                                  VLOOKUP(CONCATENATE('DGNB LCA Results'!$G$3,"_",E362), $A$2:$F$350,2,FALSE)*'DGNB LCA Results'!$H$3,
IF('DGNB LCA Results'!$P$4=3,VLOOKUP(CONCATENATE('DGNB LCA Results'!$M$3,"_",E362), $A$2:$F$350,2,FALSE)*'DGNB LCA Results'!$N$3+
                                                                VLOOKUP(CONCATENATE('DGNB LCA Results'!$K$3,"_",E362), $A$2:$F$350,2,FALSE)*'DGNB LCA Results'!$L$3+
                                                                VLOOKUP(CONCATENATE('DGNB LCA Results'!$I$3,"_",E362),$A$2:$F$350,2,FALSE)*'DGNB LCA Results'!$J$3,
IF('DGNB LCA Results'!$P$4=2,VLOOKUP(CONCATENATE('DGNB LCA Results'!$M$3,"_",E362), $A$2:$F$350,2,FALSE)*'DGNB LCA Results'!$N$3+
                                                                 VLOOKUP(CONCATENATE('DGNB LCA Results'!$K$3,"_",E362),$A$2:$F$350,2,FALSE)*'DGNB LCA Results'!$L$3,
IF('DGNB LCA Results'!$P$4=1,VLOOKUP(CONCATENATE('DGNB LCA Results'!$M$3,"_",E362), $A$2:$F$350,2,FALSE)*'DGNB LCA Results'!$N$3,0))))</f>
        <v>0</v>
      </c>
      <c r="C362">
        <f>IF('DGNB LCA Results'!$P$4=4,VLOOKUP(CONCATENATE('DGNB LCA Results'!$M$3,"_",E362), $A$2:$F$350,3,FALSE)*'DGNB LCA Results'!$N$3+
                                                                  VLOOKUP(CONCATENATE('DGNB LCA Results'!$K$3,"_",E362), $A$2:$F$350,3,FALSE)*'DGNB LCA Results'!$L$3+
                                                                  VLOOKUP(CONCATENATE('DGNB LCA Results'!$I$3,"_",E362), $A$2:$F$350,3,FALSE)*'DGNB LCA Results'!$J$3+
                                                                  VLOOKUP(CONCATENATE('DGNB LCA Results'!$G$3,"_",E362), $A$2:$F$350,3,FALSE)*'DGNB LCA Results'!$H$3,
IF('DGNB LCA Results'!$P$4=3,VLOOKUP(CONCATENATE('DGNB LCA Results'!$M$3,"_",E362), $A$2:$F$350,3,FALSE)*'DGNB LCA Results'!$N$3+
                                                                VLOOKUP(CONCATENATE('DGNB LCA Results'!$K$3,"_",E362), $A$2:$F$350,3,FALSE)*'DGNB LCA Results'!$L$3+
                                                                VLOOKUP(CONCATENATE('DGNB LCA Results'!$I$3,"_",E362),$A$2:$F$350,3,FALSE)*'DGNB LCA Results'!$J$3,
IF('DGNB LCA Results'!$P$4=2,VLOOKUP(CONCATENATE('DGNB LCA Results'!$M$3,"_",E362), $A$2:$F$350,3,FALSE)*'DGNB LCA Results'!$N$3+
                                                                 VLOOKUP(CONCATENATE('DGNB LCA Results'!$K$3,"_",E362),$A$2:$F$350,3,FALSE)*'DGNB LCA Results'!$L$3,
IF('DGNB LCA Results'!$P$4=1,VLOOKUP(CONCATENATE('DGNB LCA Results'!$M$3,"_",E362), $A$2:$F$350,3,FALSE)*'DGNB LCA Results'!$N$3,0))))</f>
        <v>0</v>
      </c>
      <c r="D362">
        <f>IF('DGNB LCA Results'!$P$4=4,VLOOKUP(CONCATENATE('DGNB LCA Results'!$M$3,"_",E362), $A$2:$F$350,4,FALSE)*'DGNB LCA Results'!$N$3+
                                                                  VLOOKUP(CONCATENATE('DGNB LCA Results'!$K$3,"_",E362), $A$2:$F$350,4,FALSE)*'DGNB LCA Results'!$L$3+
                                                                  VLOOKUP(CONCATENATE('DGNB LCA Results'!$I$3,"_",E362), $A$2:$F$350,4,FALSE)*'DGNB LCA Results'!$J$3+
                                                                  VLOOKUP(CONCATENATE('DGNB LCA Results'!$G$3,"_",E362), $A$2:$F$350,4,FALSE)*'DGNB LCA Results'!$H$3,
IF('DGNB LCA Results'!$P$4=3,VLOOKUP(CONCATENATE('DGNB LCA Results'!$M$3,"_",E362), $A$2:$F$350,4,FALSE)*'DGNB LCA Results'!$N$3+
                                                                VLOOKUP(CONCATENATE('DGNB LCA Results'!$K$3,"_",E362), $A$2:$F$350,4,FALSE)*'DGNB LCA Results'!$L$3+
                                                                VLOOKUP(CONCATENATE('DGNB LCA Results'!$I$3,"_",E362),$A$2:$F$350,4,FALSE)*'DGNB LCA Results'!$J$3,
IF('DGNB LCA Results'!$P$4=2,VLOOKUP(CONCATENATE('DGNB LCA Results'!$M$3,"_",E362), $A$2:$F$350,4,FALSE)*'DGNB LCA Results'!$N$3+
                                                                 VLOOKUP(CONCATENATE('DGNB LCA Results'!$K$3,"_",E362),$A$2:$F$350,4,FALSE)*'DGNB LCA Results'!$L$3,
IF('DGNB LCA Results'!$P$4=1,VLOOKUP(CONCATENATE('DGNB LCA Results'!$M$3,"_",E362), $A$2:$F$350,4,FALSE)*'DGNB LCA Results'!$N$3,0))))</f>
        <v>0</v>
      </c>
      <c r="E362">
        <v>0</v>
      </c>
      <c r="F362" t="s">
        <v>193</v>
      </c>
    </row>
    <row r="363" spans="1:6" x14ac:dyDescent="0.2">
      <c r="A363" t="str">
        <f t="shared" si="5"/>
        <v>MIX12_10</v>
      </c>
      <c r="B363">
        <f>IF('DGNB LCA Results'!$P$4=4,VLOOKUP(CONCATENATE('DGNB LCA Results'!$M$3,"_",E363), $A$2:$F$350,2,FALSE)*'DGNB LCA Results'!$N$3+
                                                                  VLOOKUP(CONCATENATE('DGNB LCA Results'!$K$3,"_",E363), $A$2:$F$350,2,FALSE)*'DGNB LCA Results'!$L$3+
                                                                  VLOOKUP(CONCATENATE('DGNB LCA Results'!$I$3,"_",E363), $A$2:$F$350,2,FALSE)*'DGNB LCA Results'!$J$3+
                                                                  VLOOKUP(CONCATENATE('DGNB LCA Results'!$G$3,"_",E363), $A$2:$F$350,2,FALSE)*'DGNB LCA Results'!$H$3,
IF('DGNB LCA Results'!$P$4=3,VLOOKUP(CONCATENATE('DGNB LCA Results'!$M$3,"_",E363), $A$2:$F$350,2,FALSE)*'DGNB LCA Results'!$N$3+
                                                                VLOOKUP(CONCATENATE('DGNB LCA Results'!$K$3,"_",E363), $A$2:$F$350,2,FALSE)*'DGNB LCA Results'!$L$3+
                                                                VLOOKUP(CONCATENATE('DGNB LCA Results'!$I$3,"_",E363),$A$2:$F$350,2,FALSE)*'DGNB LCA Results'!$J$3,
IF('DGNB LCA Results'!$P$4=2,VLOOKUP(CONCATENATE('DGNB LCA Results'!$M$3,"_",E363), $A$2:$F$350,2,FALSE)*'DGNB LCA Results'!$N$3+
                                                                 VLOOKUP(CONCATENATE('DGNB LCA Results'!$K$3,"_",E363),$A$2:$F$350,2,FALSE)*'DGNB LCA Results'!$L$3,
IF('DGNB LCA Results'!$P$4=1,VLOOKUP(CONCATENATE('DGNB LCA Results'!$M$3,"_",E363), $A$2:$F$350,2,FALSE)*'DGNB LCA Results'!$N$3,0))))</f>
        <v>0</v>
      </c>
      <c r="C363">
        <f>IF('DGNB LCA Results'!$P$4=4,VLOOKUP(CONCATENATE('DGNB LCA Results'!$M$3,"_",E363), $A$2:$F$350,3,FALSE)*'DGNB LCA Results'!$N$3+
                                                                  VLOOKUP(CONCATENATE('DGNB LCA Results'!$K$3,"_",E363), $A$2:$F$350,3,FALSE)*'DGNB LCA Results'!$L$3+
                                                                  VLOOKUP(CONCATENATE('DGNB LCA Results'!$I$3,"_",E363), $A$2:$F$350,3,FALSE)*'DGNB LCA Results'!$J$3+
                                                                  VLOOKUP(CONCATENATE('DGNB LCA Results'!$G$3,"_",E363), $A$2:$F$350,3,FALSE)*'DGNB LCA Results'!$H$3,
IF('DGNB LCA Results'!$P$4=3,VLOOKUP(CONCATENATE('DGNB LCA Results'!$M$3,"_",E363), $A$2:$F$350,3,FALSE)*'DGNB LCA Results'!$N$3+
                                                                VLOOKUP(CONCATENATE('DGNB LCA Results'!$K$3,"_",E363), $A$2:$F$350,3,FALSE)*'DGNB LCA Results'!$L$3+
                                                                VLOOKUP(CONCATENATE('DGNB LCA Results'!$I$3,"_",E363),$A$2:$F$350,3,FALSE)*'DGNB LCA Results'!$J$3,
IF('DGNB LCA Results'!$P$4=2,VLOOKUP(CONCATENATE('DGNB LCA Results'!$M$3,"_",E363), $A$2:$F$350,3,FALSE)*'DGNB LCA Results'!$N$3+
                                                                 VLOOKUP(CONCATENATE('DGNB LCA Results'!$K$3,"_",E363),$A$2:$F$350,3,FALSE)*'DGNB LCA Results'!$L$3,
IF('DGNB LCA Results'!$P$4=1,VLOOKUP(CONCATENATE('DGNB LCA Results'!$M$3,"_",E363), $A$2:$F$350,3,FALSE)*'DGNB LCA Results'!$N$3,0))))</f>
        <v>0</v>
      </c>
      <c r="D363">
        <f>IF('DGNB LCA Results'!$P$4=4,VLOOKUP(CONCATENATE('DGNB LCA Results'!$M$3,"_",E363), $A$2:$F$350,4,FALSE)*'DGNB LCA Results'!$N$3+
                                                                  VLOOKUP(CONCATENATE('DGNB LCA Results'!$K$3,"_",E363), $A$2:$F$350,4,FALSE)*'DGNB LCA Results'!$L$3+
                                                                  VLOOKUP(CONCATENATE('DGNB LCA Results'!$I$3,"_",E363), $A$2:$F$350,4,FALSE)*'DGNB LCA Results'!$J$3+
                                                                  VLOOKUP(CONCATENATE('DGNB LCA Results'!$G$3,"_",E363), $A$2:$F$350,4,FALSE)*'DGNB LCA Results'!$H$3,
IF('DGNB LCA Results'!$P$4=3,VLOOKUP(CONCATENATE('DGNB LCA Results'!$M$3,"_",E363), $A$2:$F$350,4,FALSE)*'DGNB LCA Results'!$N$3+
                                                                VLOOKUP(CONCATENATE('DGNB LCA Results'!$K$3,"_",E363), $A$2:$F$350,4,FALSE)*'DGNB LCA Results'!$L$3+
                                                                VLOOKUP(CONCATENATE('DGNB LCA Results'!$I$3,"_",E363),$A$2:$F$350,4,FALSE)*'DGNB LCA Results'!$J$3,
IF('DGNB LCA Results'!$P$4=2,VLOOKUP(CONCATENATE('DGNB LCA Results'!$M$3,"_",E363), $A$2:$F$350,4,FALSE)*'DGNB LCA Results'!$N$3+
                                                                 VLOOKUP(CONCATENATE('DGNB LCA Results'!$K$3,"_",E363),$A$2:$F$350,4,FALSE)*'DGNB LCA Results'!$L$3,
IF('DGNB LCA Results'!$P$4=1,VLOOKUP(CONCATENATE('DGNB LCA Results'!$M$3,"_",E363), $A$2:$F$350,4,FALSE)*'DGNB LCA Results'!$N$3,0))))</f>
        <v>0</v>
      </c>
      <c r="E363">
        <v>10</v>
      </c>
      <c r="F363" t="s">
        <v>193</v>
      </c>
    </row>
    <row r="364" spans="1:6" x14ac:dyDescent="0.2">
      <c r="A364" t="str">
        <f t="shared" si="5"/>
        <v>MIX12_20</v>
      </c>
      <c r="B364">
        <f>IF('DGNB LCA Results'!$P$4=4,VLOOKUP(CONCATENATE('DGNB LCA Results'!$M$3,"_",E364), $A$2:$F$350,2,FALSE)*'DGNB LCA Results'!$N$3+
                                                                  VLOOKUP(CONCATENATE('DGNB LCA Results'!$K$3,"_",E364), $A$2:$F$350,2,FALSE)*'DGNB LCA Results'!$L$3+
                                                                  VLOOKUP(CONCATENATE('DGNB LCA Results'!$I$3,"_",E364), $A$2:$F$350,2,FALSE)*'DGNB LCA Results'!$J$3+
                                                                  VLOOKUP(CONCATENATE('DGNB LCA Results'!$G$3,"_",E364), $A$2:$F$350,2,FALSE)*'DGNB LCA Results'!$H$3,
IF('DGNB LCA Results'!$P$4=3,VLOOKUP(CONCATENATE('DGNB LCA Results'!$M$3,"_",E364), $A$2:$F$350,2,FALSE)*'DGNB LCA Results'!$N$3+
                                                                VLOOKUP(CONCATENATE('DGNB LCA Results'!$K$3,"_",E364), $A$2:$F$350,2,FALSE)*'DGNB LCA Results'!$L$3+
                                                                VLOOKUP(CONCATENATE('DGNB LCA Results'!$I$3,"_",E364),$A$2:$F$350,2,FALSE)*'DGNB LCA Results'!$J$3,
IF('DGNB LCA Results'!$P$4=2,VLOOKUP(CONCATENATE('DGNB LCA Results'!$M$3,"_",E364), $A$2:$F$350,2,FALSE)*'DGNB LCA Results'!$N$3+
                                                                 VLOOKUP(CONCATENATE('DGNB LCA Results'!$K$3,"_",E364),$A$2:$F$350,2,FALSE)*'DGNB LCA Results'!$L$3,
IF('DGNB LCA Results'!$P$4=1,VLOOKUP(CONCATENATE('DGNB LCA Results'!$M$3,"_",E364), $A$2:$F$350,2,FALSE)*'DGNB LCA Results'!$N$3,0))))</f>
        <v>0</v>
      </c>
      <c r="C364">
        <f>IF('DGNB LCA Results'!$P$4=4,VLOOKUP(CONCATENATE('DGNB LCA Results'!$M$3,"_",E364), $A$2:$F$350,3,FALSE)*'DGNB LCA Results'!$N$3+
                                                                  VLOOKUP(CONCATENATE('DGNB LCA Results'!$K$3,"_",E364), $A$2:$F$350,3,FALSE)*'DGNB LCA Results'!$L$3+
                                                                  VLOOKUP(CONCATENATE('DGNB LCA Results'!$I$3,"_",E364), $A$2:$F$350,3,FALSE)*'DGNB LCA Results'!$J$3+
                                                                  VLOOKUP(CONCATENATE('DGNB LCA Results'!$G$3,"_",E364), $A$2:$F$350,3,FALSE)*'DGNB LCA Results'!$H$3,
IF('DGNB LCA Results'!$P$4=3,VLOOKUP(CONCATENATE('DGNB LCA Results'!$M$3,"_",E364), $A$2:$F$350,3,FALSE)*'DGNB LCA Results'!$N$3+
                                                                VLOOKUP(CONCATENATE('DGNB LCA Results'!$K$3,"_",E364), $A$2:$F$350,3,FALSE)*'DGNB LCA Results'!$L$3+
                                                                VLOOKUP(CONCATENATE('DGNB LCA Results'!$I$3,"_",E364),$A$2:$F$350,3,FALSE)*'DGNB LCA Results'!$J$3,
IF('DGNB LCA Results'!$P$4=2,VLOOKUP(CONCATENATE('DGNB LCA Results'!$M$3,"_",E364), $A$2:$F$350,3,FALSE)*'DGNB LCA Results'!$N$3+
                                                                 VLOOKUP(CONCATENATE('DGNB LCA Results'!$K$3,"_",E364),$A$2:$F$350,3,FALSE)*'DGNB LCA Results'!$L$3,
IF('DGNB LCA Results'!$P$4=1,VLOOKUP(CONCATENATE('DGNB LCA Results'!$M$3,"_",E364), $A$2:$F$350,3,FALSE)*'DGNB LCA Results'!$N$3,0))))</f>
        <v>0</v>
      </c>
      <c r="D364">
        <f>IF('DGNB LCA Results'!$P$4=4,VLOOKUP(CONCATENATE('DGNB LCA Results'!$M$3,"_",E364), $A$2:$F$350,4,FALSE)*'DGNB LCA Results'!$N$3+
                                                                  VLOOKUP(CONCATENATE('DGNB LCA Results'!$K$3,"_",E364), $A$2:$F$350,4,FALSE)*'DGNB LCA Results'!$L$3+
                                                                  VLOOKUP(CONCATENATE('DGNB LCA Results'!$I$3,"_",E364), $A$2:$F$350,4,FALSE)*'DGNB LCA Results'!$J$3+
                                                                  VLOOKUP(CONCATENATE('DGNB LCA Results'!$G$3,"_",E364), $A$2:$F$350,4,FALSE)*'DGNB LCA Results'!$H$3,
IF('DGNB LCA Results'!$P$4=3,VLOOKUP(CONCATENATE('DGNB LCA Results'!$M$3,"_",E364), $A$2:$F$350,4,FALSE)*'DGNB LCA Results'!$N$3+
                                                                VLOOKUP(CONCATENATE('DGNB LCA Results'!$K$3,"_",E364), $A$2:$F$350,4,FALSE)*'DGNB LCA Results'!$L$3+
                                                                VLOOKUP(CONCATENATE('DGNB LCA Results'!$I$3,"_",E364),$A$2:$F$350,4,FALSE)*'DGNB LCA Results'!$J$3,
IF('DGNB LCA Results'!$P$4=2,VLOOKUP(CONCATENATE('DGNB LCA Results'!$M$3,"_",E364), $A$2:$F$350,4,FALSE)*'DGNB LCA Results'!$N$3+
                                                                 VLOOKUP(CONCATENATE('DGNB LCA Results'!$K$3,"_",E364),$A$2:$F$350,4,FALSE)*'DGNB LCA Results'!$L$3,
IF('DGNB LCA Results'!$P$4=1,VLOOKUP(CONCATENATE('DGNB LCA Results'!$M$3,"_",E364), $A$2:$F$350,4,FALSE)*'DGNB LCA Results'!$N$3,0))))</f>
        <v>0</v>
      </c>
      <c r="E364">
        <v>20</v>
      </c>
      <c r="F364" t="s">
        <v>193</v>
      </c>
    </row>
    <row r="365" spans="1:6" x14ac:dyDescent="0.2">
      <c r="A365" t="str">
        <f t="shared" si="5"/>
        <v>MIX12_30</v>
      </c>
      <c r="B365">
        <f>IF('DGNB LCA Results'!$P$4=4,VLOOKUP(CONCATENATE('DGNB LCA Results'!$M$3,"_",E365), $A$2:$F$350,2,FALSE)*'DGNB LCA Results'!$N$3+
                                                                  VLOOKUP(CONCATENATE('DGNB LCA Results'!$K$3,"_",E365), $A$2:$F$350,2,FALSE)*'DGNB LCA Results'!$L$3+
                                                                  VLOOKUP(CONCATENATE('DGNB LCA Results'!$I$3,"_",E365), $A$2:$F$350,2,FALSE)*'DGNB LCA Results'!$J$3+
                                                                  VLOOKUP(CONCATENATE('DGNB LCA Results'!$G$3,"_",E365), $A$2:$F$350,2,FALSE)*'DGNB LCA Results'!$H$3,
IF('DGNB LCA Results'!$P$4=3,VLOOKUP(CONCATENATE('DGNB LCA Results'!$M$3,"_",E365), $A$2:$F$350,2,FALSE)*'DGNB LCA Results'!$N$3+
                                                                VLOOKUP(CONCATENATE('DGNB LCA Results'!$K$3,"_",E365), $A$2:$F$350,2,FALSE)*'DGNB LCA Results'!$L$3+
                                                                VLOOKUP(CONCATENATE('DGNB LCA Results'!$I$3,"_",E365),$A$2:$F$350,2,FALSE)*'DGNB LCA Results'!$J$3,
IF('DGNB LCA Results'!$P$4=2,VLOOKUP(CONCATENATE('DGNB LCA Results'!$M$3,"_",E365), $A$2:$F$350,2,FALSE)*'DGNB LCA Results'!$N$3+
                                                                 VLOOKUP(CONCATENATE('DGNB LCA Results'!$K$3,"_",E365),$A$2:$F$350,2,FALSE)*'DGNB LCA Results'!$L$3,
IF('DGNB LCA Results'!$P$4=1,VLOOKUP(CONCATENATE('DGNB LCA Results'!$M$3,"_",E365), $A$2:$F$350,2,FALSE)*'DGNB LCA Results'!$N$3,0))))</f>
        <v>0</v>
      </c>
      <c r="C365">
        <f>IF('DGNB LCA Results'!$P$4=4,VLOOKUP(CONCATENATE('DGNB LCA Results'!$M$3,"_",E365), $A$2:$F$350,3,FALSE)*'DGNB LCA Results'!$N$3+
                                                                  VLOOKUP(CONCATENATE('DGNB LCA Results'!$K$3,"_",E365), $A$2:$F$350,3,FALSE)*'DGNB LCA Results'!$L$3+
                                                                  VLOOKUP(CONCATENATE('DGNB LCA Results'!$I$3,"_",E365), $A$2:$F$350,3,FALSE)*'DGNB LCA Results'!$J$3+
                                                                  VLOOKUP(CONCATENATE('DGNB LCA Results'!$G$3,"_",E365), $A$2:$F$350,3,FALSE)*'DGNB LCA Results'!$H$3,
IF('DGNB LCA Results'!$P$4=3,VLOOKUP(CONCATENATE('DGNB LCA Results'!$M$3,"_",E365), $A$2:$F$350,3,FALSE)*'DGNB LCA Results'!$N$3+
                                                                VLOOKUP(CONCATENATE('DGNB LCA Results'!$K$3,"_",E365), $A$2:$F$350,3,FALSE)*'DGNB LCA Results'!$L$3+
                                                                VLOOKUP(CONCATENATE('DGNB LCA Results'!$I$3,"_",E365),$A$2:$F$350,3,FALSE)*'DGNB LCA Results'!$J$3,
IF('DGNB LCA Results'!$P$4=2,VLOOKUP(CONCATENATE('DGNB LCA Results'!$M$3,"_",E365), $A$2:$F$350,3,FALSE)*'DGNB LCA Results'!$N$3+
                                                                 VLOOKUP(CONCATENATE('DGNB LCA Results'!$K$3,"_",E365),$A$2:$F$350,3,FALSE)*'DGNB LCA Results'!$L$3,
IF('DGNB LCA Results'!$P$4=1,VLOOKUP(CONCATENATE('DGNB LCA Results'!$M$3,"_",E365), $A$2:$F$350,3,FALSE)*'DGNB LCA Results'!$N$3,0))))</f>
        <v>0</v>
      </c>
      <c r="D365">
        <f>IF('DGNB LCA Results'!$P$4=4,VLOOKUP(CONCATENATE('DGNB LCA Results'!$M$3,"_",E365), $A$2:$F$350,4,FALSE)*'DGNB LCA Results'!$N$3+
                                                                  VLOOKUP(CONCATENATE('DGNB LCA Results'!$K$3,"_",E365), $A$2:$F$350,4,FALSE)*'DGNB LCA Results'!$L$3+
                                                                  VLOOKUP(CONCATENATE('DGNB LCA Results'!$I$3,"_",E365), $A$2:$F$350,4,FALSE)*'DGNB LCA Results'!$J$3+
                                                                  VLOOKUP(CONCATENATE('DGNB LCA Results'!$G$3,"_",E365), $A$2:$F$350,4,FALSE)*'DGNB LCA Results'!$H$3,
IF('DGNB LCA Results'!$P$4=3,VLOOKUP(CONCATENATE('DGNB LCA Results'!$M$3,"_",E365), $A$2:$F$350,4,FALSE)*'DGNB LCA Results'!$N$3+
                                                                VLOOKUP(CONCATENATE('DGNB LCA Results'!$K$3,"_",E365), $A$2:$F$350,4,FALSE)*'DGNB LCA Results'!$L$3+
                                                                VLOOKUP(CONCATENATE('DGNB LCA Results'!$I$3,"_",E365),$A$2:$F$350,4,FALSE)*'DGNB LCA Results'!$J$3,
IF('DGNB LCA Results'!$P$4=2,VLOOKUP(CONCATENATE('DGNB LCA Results'!$M$3,"_",E365), $A$2:$F$350,4,FALSE)*'DGNB LCA Results'!$N$3+
                                                                 VLOOKUP(CONCATENATE('DGNB LCA Results'!$K$3,"_",E365),$A$2:$F$350,4,FALSE)*'DGNB LCA Results'!$L$3,
IF('DGNB LCA Results'!$P$4=1,VLOOKUP(CONCATENATE('DGNB LCA Results'!$M$3,"_",E365), $A$2:$F$350,4,FALSE)*'DGNB LCA Results'!$N$3,0))))</f>
        <v>0</v>
      </c>
      <c r="E365">
        <v>30</v>
      </c>
      <c r="F365" t="s">
        <v>193</v>
      </c>
    </row>
    <row r="366" spans="1:6" x14ac:dyDescent="0.2">
      <c r="A366" t="str">
        <f t="shared" si="5"/>
        <v>MIX12_40</v>
      </c>
      <c r="B366">
        <f>IF('DGNB LCA Results'!$P$4=4,VLOOKUP(CONCATENATE('DGNB LCA Results'!$M$3,"_",E366), $A$2:$F$350,2,FALSE)*'DGNB LCA Results'!$N$3+
                                                                  VLOOKUP(CONCATENATE('DGNB LCA Results'!$K$3,"_",E366), $A$2:$F$350,2,FALSE)*'DGNB LCA Results'!$L$3+
                                                                  VLOOKUP(CONCATENATE('DGNB LCA Results'!$I$3,"_",E366), $A$2:$F$350,2,FALSE)*'DGNB LCA Results'!$J$3+
                                                                  VLOOKUP(CONCATENATE('DGNB LCA Results'!$G$3,"_",E366), $A$2:$F$350,2,FALSE)*'DGNB LCA Results'!$H$3,
IF('DGNB LCA Results'!$P$4=3,VLOOKUP(CONCATENATE('DGNB LCA Results'!$M$3,"_",E366), $A$2:$F$350,2,FALSE)*'DGNB LCA Results'!$N$3+
                                                                VLOOKUP(CONCATENATE('DGNB LCA Results'!$K$3,"_",E366), $A$2:$F$350,2,FALSE)*'DGNB LCA Results'!$L$3+
                                                                VLOOKUP(CONCATENATE('DGNB LCA Results'!$I$3,"_",E366),$A$2:$F$350,2,FALSE)*'DGNB LCA Results'!$J$3,
IF('DGNB LCA Results'!$P$4=2,VLOOKUP(CONCATENATE('DGNB LCA Results'!$M$3,"_",E366), $A$2:$F$350,2,FALSE)*'DGNB LCA Results'!$N$3+
                                                                 VLOOKUP(CONCATENATE('DGNB LCA Results'!$K$3,"_",E366),$A$2:$F$350,2,FALSE)*'DGNB LCA Results'!$L$3,
IF('DGNB LCA Results'!$P$4=1,VLOOKUP(CONCATENATE('DGNB LCA Results'!$M$3,"_",E366), $A$2:$F$350,2,FALSE)*'DGNB LCA Results'!$N$3,0))))</f>
        <v>0</v>
      </c>
      <c r="C366">
        <f>IF('DGNB LCA Results'!$P$4=4,VLOOKUP(CONCATENATE('DGNB LCA Results'!$M$3,"_",E366), $A$2:$F$350,3,FALSE)*'DGNB LCA Results'!$N$3+
                                                                  VLOOKUP(CONCATENATE('DGNB LCA Results'!$K$3,"_",E366), $A$2:$F$350,3,FALSE)*'DGNB LCA Results'!$L$3+
                                                                  VLOOKUP(CONCATENATE('DGNB LCA Results'!$I$3,"_",E366), $A$2:$F$350,3,FALSE)*'DGNB LCA Results'!$J$3+
                                                                  VLOOKUP(CONCATENATE('DGNB LCA Results'!$G$3,"_",E366), $A$2:$F$350,3,FALSE)*'DGNB LCA Results'!$H$3,
IF('DGNB LCA Results'!$P$4=3,VLOOKUP(CONCATENATE('DGNB LCA Results'!$M$3,"_",E366), $A$2:$F$350,3,FALSE)*'DGNB LCA Results'!$N$3+
                                                                VLOOKUP(CONCATENATE('DGNB LCA Results'!$K$3,"_",E366), $A$2:$F$350,3,FALSE)*'DGNB LCA Results'!$L$3+
                                                                VLOOKUP(CONCATENATE('DGNB LCA Results'!$I$3,"_",E366),$A$2:$F$350,3,FALSE)*'DGNB LCA Results'!$J$3,
IF('DGNB LCA Results'!$P$4=2,VLOOKUP(CONCATENATE('DGNB LCA Results'!$M$3,"_",E366), $A$2:$F$350,3,FALSE)*'DGNB LCA Results'!$N$3+
                                                                 VLOOKUP(CONCATENATE('DGNB LCA Results'!$K$3,"_",E366),$A$2:$F$350,3,FALSE)*'DGNB LCA Results'!$L$3,
IF('DGNB LCA Results'!$P$4=1,VLOOKUP(CONCATENATE('DGNB LCA Results'!$M$3,"_",E366), $A$2:$F$350,3,FALSE)*'DGNB LCA Results'!$N$3,0))))</f>
        <v>0</v>
      </c>
      <c r="D366">
        <f>IF('DGNB LCA Results'!$P$4=4,VLOOKUP(CONCATENATE('DGNB LCA Results'!$M$3,"_",E366), $A$2:$F$350,4,FALSE)*'DGNB LCA Results'!$N$3+
                                                                  VLOOKUP(CONCATENATE('DGNB LCA Results'!$K$3,"_",E366), $A$2:$F$350,4,FALSE)*'DGNB LCA Results'!$L$3+
                                                                  VLOOKUP(CONCATENATE('DGNB LCA Results'!$I$3,"_",E366), $A$2:$F$350,4,FALSE)*'DGNB LCA Results'!$J$3+
                                                                  VLOOKUP(CONCATENATE('DGNB LCA Results'!$G$3,"_",E366), $A$2:$F$350,4,FALSE)*'DGNB LCA Results'!$H$3,
IF('DGNB LCA Results'!$P$4=3,VLOOKUP(CONCATENATE('DGNB LCA Results'!$M$3,"_",E366), $A$2:$F$350,4,FALSE)*'DGNB LCA Results'!$N$3+
                                                                VLOOKUP(CONCATENATE('DGNB LCA Results'!$K$3,"_",E366), $A$2:$F$350,4,FALSE)*'DGNB LCA Results'!$L$3+
                                                                VLOOKUP(CONCATENATE('DGNB LCA Results'!$I$3,"_",E366),$A$2:$F$350,4,FALSE)*'DGNB LCA Results'!$J$3,
IF('DGNB LCA Results'!$P$4=2,VLOOKUP(CONCATENATE('DGNB LCA Results'!$M$3,"_",E366), $A$2:$F$350,4,FALSE)*'DGNB LCA Results'!$N$3+
                                                                 VLOOKUP(CONCATENATE('DGNB LCA Results'!$K$3,"_",E366),$A$2:$F$350,4,FALSE)*'DGNB LCA Results'!$L$3,
IF('DGNB LCA Results'!$P$4=1,VLOOKUP(CONCATENATE('DGNB LCA Results'!$M$3,"_",E366), $A$2:$F$350,4,FALSE)*'DGNB LCA Results'!$N$3,0))))</f>
        <v>0</v>
      </c>
      <c r="E366">
        <v>40</v>
      </c>
      <c r="F366" t="s">
        <v>193</v>
      </c>
    </row>
    <row r="367" spans="1:6" x14ac:dyDescent="0.2">
      <c r="A367" t="str">
        <f t="shared" si="5"/>
        <v>MIX12_50</v>
      </c>
      <c r="B367">
        <f>IF('DGNB LCA Results'!$P$4=4,VLOOKUP(CONCATENATE('DGNB LCA Results'!$M$3,"_",E367), $A$2:$F$350,2,FALSE)*'DGNB LCA Results'!$N$3+
                                                                  VLOOKUP(CONCATENATE('DGNB LCA Results'!$K$3,"_",E367), $A$2:$F$350,2,FALSE)*'DGNB LCA Results'!$L$3+
                                                                  VLOOKUP(CONCATENATE('DGNB LCA Results'!$I$3,"_",E367), $A$2:$F$350,2,FALSE)*'DGNB LCA Results'!$J$3+
                                                                  VLOOKUP(CONCATENATE('DGNB LCA Results'!$G$3,"_",E367), $A$2:$F$350,2,FALSE)*'DGNB LCA Results'!$H$3,
IF('DGNB LCA Results'!$P$4=3,VLOOKUP(CONCATENATE('DGNB LCA Results'!$M$3,"_",E367), $A$2:$F$350,2,FALSE)*'DGNB LCA Results'!$N$3+
                                                                VLOOKUP(CONCATENATE('DGNB LCA Results'!$K$3,"_",E367), $A$2:$F$350,2,FALSE)*'DGNB LCA Results'!$L$3+
                                                                VLOOKUP(CONCATENATE('DGNB LCA Results'!$I$3,"_",E367),$A$2:$F$350,2,FALSE)*'DGNB LCA Results'!$J$3,
IF('DGNB LCA Results'!$P$4=2,VLOOKUP(CONCATENATE('DGNB LCA Results'!$M$3,"_",E367), $A$2:$F$350,2,FALSE)*'DGNB LCA Results'!$N$3+
                                                                 VLOOKUP(CONCATENATE('DGNB LCA Results'!$K$3,"_",E367),$A$2:$F$350,2,FALSE)*'DGNB LCA Results'!$L$3,
IF('DGNB LCA Results'!$P$4=1,VLOOKUP(CONCATENATE('DGNB LCA Results'!$M$3,"_",E367), $A$2:$F$350,2,FALSE)*'DGNB LCA Results'!$N$3,0))))</f>
        <v>0</v>
      </c>
      <c r="C367">
        <f>IF('DGNB LCA Results'!$P$4=4,VLOOKUP(CONCATENATE('DGNB LCA Results'!$M$3,"_",E367), $A$2:$F$350,3,FALSE)*'DGNB LCA Results'!$N$3+
                                                                  VLOOKUP(CONCATENATE('DGNB LCA Results'!$K$3,"_",E367), $A$2:$F$350,3,FALSE)*'DGNB LCA Results'!$L$3+
                                                                  VLOOKUP(CONCATENATE('DGNB LCA Results'!$I$3,"_",E367), $A$2:$F$350,3,FALSE)*'DGNB LCA Results'!$J$3+
                                                                  VLOOKUP(CONCATENATE('DGNB LCA Results'!$G$3,"_",E367), $A$2:$F$350,3,FALSE)*'DGNB LCA Results'!$H$3,
IF('DGNB LCA Results'!$P$4=3,VLOOKUP(CONCATENATE('DGNB LCA Results'!$M$3,"_",E367), $A$2:$F$350,3,FALSE)*'DGNB LCA Results'!$N$3+
                                                                VLOOKUP(CONCATENATE('DGNB LCA Results'!$K$3,"_",E367), $A$2:$F$350,3,FALSE)*'DGNB LCA Results'!$L$3+
                                                                VLOOKUP(CONCATENATE('DGNB LCA Results'!$I$3,"_",E367),$A$2:$F$350,3,FALSE)*'DGNB LCA Results'!$J$3,
IF('DGNB LCA Results'!$P$4=2,VLOOKUP(CONCATENATE('DGNB LCA Results'!$M$3,"_",E367), $A$2:$F$350,3,FALSE)*'DGNB LCA Results'!$N$3+
                                                                 VLOOKUP(CONCATENATE('DGNB LCA Results'!$K$3,"_",E367),$A$2:$F$350,3,FALSE)*'DGNB LCA Results'!$L$3,
IF('DGNB LCA Results'!$P$4=1,VLOOKUP(CONCATENATE('DGNB LCA Results'!$M$3,"_",E367), $A$2:$F$350,3,FALSE)*'DGNB LCA Results'!$N$3,0))))</f>
        <v>0</v>
      </c>
      <c r="D367">
        <f>IF('DGNB LCA Results'!$P$4=4,VLOOKUP(CONCATENATE('DGNB LCA Results'!$M$3,"_",E367), $A$2:$F$350,4,FALSE)*'DGNB LCA Results'!$N$3+
                                                                  VLOOKUP(CONCATENATE('DGNB LCA Results'!$K$3,"_",E367), $A$2:$F$350,4,FALSE)*'DGNB LCA Results'!$L$3+
                                                                  VLOOKUP(CONCATENATE('DGNB LCA Results'!$I$3,"_",E367), $A$2:$F$350,4,FALSE)*'DGNB LCA Results'!$J$3+
                                                                  VLOOKUP(CONCATENATE('DGNB LCA Results'!$G$3,"_",E367), $A$2:$F$350,4,FALSE)*'DGNB LCA Results'!$H$3,
IF('DGNB LCA Results'!$P$4=3,VLOOKUP(CONCATENATE('DGNB LCA Results'!$M$3,"_",E367), $A$2:$F$350,4,FALSE)*'DGNB LCA Results'!$N$3+
                                                                VLOOKUP(CONCATENATE('DGNB LCA Results'!$K$3,"_",E367), $A$2:$F$350,4,FALSE)*'DGNB LCA Results'!$L$3+
                                                                VLOOKUP(CONCATENATE('DGNB LCA Results'!$I$3,"_",E367),$A$2:$F$350,4,FALSE)*'DGNB LCA Results'!$J$3,
IF('DGNB LCA Results'!$P$4=2,VLOOKUP(CONCATENATE('DGNB LCA Results'!$M$3,"_",E367), $A$2:$F$350,4,FALSE)*'DGNB LCA Results'!$N$3+
                                                                 VLOOKUP(CONCATENATE('DGNB LCA Results'!$K$3,"_",E367),$A$2:$F$350,4,FALSE)*'DGNB LCA Results'!$L$3,
IF('DGNB LCA Results'!$P$4=1,VLOOKUP(CONCATENATE('DGNB LCA Results'!$M$3,"_",E367), $A$2:$F$350,4,FALSE)*'DGNB LCA Results'!$N$3,0))))</f>
        <v>0</v>
      </c>
      <c r="E367">
        <v>50</v>
      </c>
      <c r="F367" t="s">
        <v>193</v>
      </c>
    </row>
    <row r="368" spans="1:6" x14ac:dyDescent="0.2">
      <c r="A368" t="str">
        <f t="shared" si="5"/>
        <v>MIX12_60</v>
      </c>
      <c r="B368">
        <f>IF('DGNB LCA Results'!$P$4=4,VLOOKUP(CONCATENATE('DGNB LCA Results'!$M$3,"_",E368), $A$2:$F$350,2,FALSE)*'DGNB LCA Results'!$N$3+
                                                                  VLOOKUP(CONCATENATE('DGNB LCA Results'!$K$3,"_",E368), $A$2:$F$350,2,FALSE)*'DGNB LCA Results'!$L$3+
                                                                  VLOOKUP(CONCATENATE('DGNB LCA Results'!$I$3,"_",E368), $A$2:$F$350,2,FALSE)*'DGNB LCA Results'!$J$3+
                                                                  VLOOKUP(CONCATENATE('DGNB LCA Results'!$G$3,"_",E368), $A$2:$F$350,2,FALSE)*'DGNB LCA Results'!$H$3,
IF('DGNB LCA Results'!$P$4=3,VLOOKUP(CONCATENATE('DGNB LCA Results'!$M$3,"_",E368), $A$2:$F$350,2,FALSE)*'DGNB LCA Results'!$N$3+
                                                                VLOOKUP(CONCATENATE('DGNB LCA Results'!$K$3,"_",E368), $A$2:$F$350,2,FALSE)*'DGNB LCA Results'!$L$3+
                                                                VLOOKUP(CONCATENATE('DGNB LCA Results'!$I$3,"_",E368),$A$2:$F$350,2,FALSE)*'DGNB LCA Results'!$J$3,
IF('DGNB LCA Results'!$P$4=2,VLOOKUP(CONCATENATE('DGNB LCA Results'!$M$3,"_",E368), $A$2:$F$350,2,FALSE)*'DGNB LCA Results'!$N$3+
                                                                 VLOOKUP(CONCATENATE('DGNB LCA Results'!$K$3,"_",E368),$A$2:$F$350,2,FALSE)*'DGNB LCA Results'!$L$3,
IF('DGNB LCA Results'!$P$4=1,VLOOKUP(CONCATENATE('DGNB LCA Results'!$M$3,"_",E368), $A$2:$F$350,2,FALSE)*'DGNB LCA Results'!$N$3,0))))</f>
        <v>0</v>
      </c>
      <c r="C368">
        <f>IF('DGNB LCA Results'!$P$4=4,VLOOKUP(CONCATENATE('DGNB LCA Results'!$M$3,"_",E368), $A$2:$F$350,3,FALSE)*'DGNB LCA Results'!$N$3+
                                                                  VLOOKUP(CONCATENATE('DGNB LCA Results'!$K$3,"_",E368), $A$2:$F$350,3,FALSE)*'DGNB LCA Results'!$L$3+
                                                                  VLOOKUP(CONCATENATE('DGNB LCA Results'!$I$3,"_",E368), $A$2:$F$350,3,FALSE)*'DGNB LCA Results'!$J$3+
                                                                  VLOOKUP(CONCATENATE('DGNB LCA Results'!$G$3,"_",E368), $A$2:$F$350,3,FALSE)*'DGNB LCA Results'!$H$3,
IF('DGNB LCA Results'!$P$4=3,VLOOKUP(CONCATENATE('DGNB LCA Results'!$M$3,"_",E368), $A$2:$F$350,3,FALSE)*'DGNB LCA Results'!$N$3+
                                                                VLOOKUP(CONCATENATE('DGNB LCA Results'!$K$3,"_",E368), $A$2:$F$350,3,FALSE)*'DGNB LCA Results'!$L$3+
                                                                VLOOKUP(CONCATENATE('DGNB LCA Results'!$I$3,"_",E368),$A$2:$F$350,3,FALSE)*'DGNB LCA Results'!$J$3,
IF('DGNB LCA Results'!$P$4=2,VLOOKUP(CONCATENATE('DGNB LCA Results'!$M$3,"_",E368), $A$2:$F$350,3,FALSE)*'DGNB LCA Results'!$N$3+
                                                                 VLOOKUP(CONCATENATE('DGNB LCA Results'!$K$3,"_",E368),$A$2:$F$350,3,FALSE)*'DGNB LCA Results'!$L$3,
IF('DGNB LCA Results'!$P$4=1,VLOOKUP(CONCATENATE('DGNB LCA Results'!$M$3,"_",E368), $A$2:$F$350,3,FALSE)*'DGNB LCA Results'!$N$3,0))))</f>
        <v>0</v>
      </c>
      <c r="D368">
        <f>IF('DGNB LCA Results'!$P$4=4,VLOOKUP(CONCATENATE('DGNB LCA Results'!$M$3,"_",E368), $A$2:$F$350,4,FALSE)*'DGNB LCA Results'!$N$3+
                                                                  VLOOKUP(CONCATENATE('DGNB LCA Results'!$K$3,"_",E368), $A$2:$F$350,4,FALSE)*'DGNB LCA Results'!$L$3+
                                                                  VLOOKUP(CONCATENATE('DGNB LCA Results'!$I$3,"_",E368), $A$2:$F$350,4,FALSE)*'DGNB LCA Results'!$J$3+
                                                                  VLOOKUP(CONCATENATE('DGNB LCA Results'!$G$3,"_",E368), $A$2:$F$350,4,FALSE)*'DGNB LCA Results'!$H$3,
IF('DGNB LCA Results'!$P$4=3,VLOOKUP(CONCATENATE('DGNB LCA Results'!$M$3,"_",E368), $A$2:$F$350,4,FALSE)*'DGNB LCA Results'!$N$3+
                                                                VLOOKUP(CONCATENATE('DGNB LCA Results'!$K$3,"_",E368), $A$2:$F$350,4,FALSE)*'DGNB LCA Results'!$L$3+
                                                                VLOOKUP(CONCATENATE('DGNB LCA Results'!$I$3,"_",E368),$A$2:$F$350,4,FALSE)*'DGNB LCA Results'!$J$3,
IF('DGNB LCA Results'!$P$4=2,VLOOKUP(CONCATENATE('DGNB LCA Results'!$M$3,"_",E368), $A$2:$F$350,4,FALSE)*'DGNB LCA Results'!$N$3+
                                                                 VLOOKUP(CONCATENATE('DGNB LCA Results'!$K$3,"_",E368),$A$2:$F$350,4,FALSE)*'DGNB LCA Results'!$L$3,
IF('DGNB LCA Results'!$P$4=1,VLOOKUP(CONCATENATE('DGNB LCA Results'!$M$3,"_",E368), $A$2:$F$350,4,FALSE)*'DGNB LCA Results'!$N$3,0))))</f>
        <v>0</v>
      </c>
      <c r="E368">
        <v>60</v>
      </c>
      <c r="F368" t="s">
        <v>193</v>
      </c>
    </row>
    <row r="369" spans="1:6" x14ac:dyDescent="0.2">
      <c r="A369" t="str">
        <f t="shared" si="5"/>
        <v>MIX12_70</v>
      </c>
      <c r="B369">
        <f>IF('DGNB LCA Results'!$P$4=4,VLOOKUP(CONCATENATE('DGNB LCA Results'!$M$3,"_",E369), $A$2:$F$350,2,FALSE)*'DGNB LCA Results'!$N$3+
                                                                  VLOOKUP(CONCATENATE('DGNB LCA Results'!$K$3,"_",E369), $A$2:$F$350,2,FALSE)*'DGNB LCA Results'!$L$3+
                                                                  VLOOKUP(CONCATENATE('DGNB LCA Results'!$I$3,"_",E369), $A$2:$F$350,2,FALSE)*'DGNB LCA Results'!$J$3+
                                                                  VLOOKUP(CONCATENATE('DGNB LCA Results'!$G$3,"_",E369), $A$2:$F$350,2,FALSE)*'DGNB LCA Results'!$H$3,
IF('DGNB LCA Results'!$P$4=3,VLOOKUP(CONCATENATE('DGNB LCA Results'!$M$3,"_",E369), $A$2:$F$350,2,FALSE)*'DGNB LCA Results'!$N$3+
                                                                VLOOKUP(CONCATENATE('DGNB LCA Results'!$K$3,"_",E369), $A$2:$F$350,2,FALSE)*'DGNB LCA Results'!$L$3+
                                                                VLOOKUP(CONCATENATE('DGNB LCA Results'!$I$3,"_",E369),$A$2:$F$350,2,FALSE)*'DGNB LCA Results'!$J$3,
IF('DGNB LCA Results'!$P$4=2,VLOOKUP(CONCATENATE('DGNB LCA Results'!$M$3,"_",E369), $A$2:$F$350,2,FALSE)*'DGNB LCA Results'!$N$3+
                                                                 VLOOKUP(CONCATENATE('DGNB LCA Results'!$K$3,"_",E369),$A$2:$F$350,2,FALSE)*'DGNB LCA Results'!$L$3,
IF('DGNB LCA Results'!$P$4=1,VLOOKUP(CONCATENATE('DGNB LCA Results'!$M$3,"_",E369), $A$2:$F$350,2,FALSE)*'DGNB LCA Results'!$N$3,0))))</f>
        <v>0</v>
      </c>
      <c r="C369">
        <f>IF('DGNB LCA Results'!$P$4=4,VLOOKUP(CONCATENATE('DGNB LCA Results'!$M$3,"_",E369), $A$2:$F$350,3,FALSE)*'DGNB LCA Results'!$N$3+
                                                                  VLOOKUP(CONCATENATE('DGNB LCA Results'!$K$3,"_",E369), $A$2:$F$350,3,FALSE)*'DGNB LCA Results'!$L$3+
                                                                  VLOOKUP(CONCATENATE('DGNB LCA Results'!$I$3,"_",E369), $A$2:$F$350,3,FALSE)*'DGNB LCA Results'!$J$3+
                                                                  VLOOKUP(CONCATENATE('DGNB LCA Results'!$G$3,"_",E369), $A$2:$F$350,3,FALSE)*'DGNB LCA Results'!$H$3,
IF('DGNB LCA Results'!$P$4=3,VLOOKUP(CONCATENATE('DGNB LCA Results'!$M$3,"_",E369), $A$2:$F$350,3,FALSE)*'DGNB LCA Results'!$N$3+
                                                                VLOOKUP(CONCATENATE('DGNB LCA Results'!$K$3,"_",E369), $A$2:$F$350,3,FALSE)*'DGNB LCA Results'!$L$3+
                                                                VLOOKUP(CONCATENATE('DGNB LCA Results'!$I$3,"_",E369),$A$2:$F$350,3,FALSE)*'DGNB LCA Results'!$J$3,
IF('DGNB LCA Results'!$P$4=2,VLOOKUP(CONCATENATE('DGNB LCA Results'!$M$3,"_",E369), $A$2:$F$350,3,FALSE)*'DGNB LCA Results'!$N$3+
                                                                 VLOOKUP(CONCATENATE('DGNB LCA Results'!$K$3,"_",E369),$A$2:$F$350,3,FALSE)*'DGNB LCA Results'!$L$3,
IF('DGNB LCA Results'!$P$4=1,VLOOKUP(CONCATENATE('DGNB LCA Results'!$M$3,"_",E369), $A$2:$F$350,3,FALSE)*'DGNB LCA Results'!$N$3,0))))</f>
        <v>0</v>
      </c>
      <c r="D369">
        <f>IF('DGNB LCA Results'!$P$4=4,VLOOKUP(CONCATENATE('DGNB LCA Results'!$M$3,"_",E369), $A$2:$F$350,4,FALSE)*'DGNB LCA Results'!$N$3+
                                                                  VLOOKUP(CONCATENATE('DGNB LCA Results'!$K$3,"_",E369), $A$2:$F$350,4,FALSE)*'DGNB LCA Results'!$L$3+
                                                                  VLOOKUP(CONCATENATE('DGNB LCA Results'!$I$3,"_",E369), $A$2:$F$350,4,FALSE)*'DGNB LCA Results'!$J$3+
                                                                  VLOOKUP(CONCATENATE('DGNB LCA Results'!$G$3,"_",E369), $A$2:$F$350,4,FALSE)*'DGNB LCA Results'!$H$3,
IF('DGNB LCA Results'!$P$4=3,VLOOKUP(CONCATENATE('DGNB LCA Results'!$M$3,"_",E369), $A$2:$F$350,4,FALSE)*'DGNB LCA Results'!$N$3+
                                                                VLOOKUP(CONCATENATE('DGNB LCA Results'!$K$3,"_",E369), $A$2:$F$350,4,FALSE)*'DGNB LCA Results'!$L$3+
                                                                VLOOKUP(CONCATENATE('DGNB LCA Results'!$I$3,"_",E369),$A$2:$F$350,4,FALSE)*'DGNB LCA Results'!$J$3,
IF('DGNB LCA Results'!$P$4=2,VLOOKUP(CONCATENATE('DGNB LCA Results'!$M$3,"_",E369), $A$2:$F$350,4,FALSE)*'DGNB LCA Results'!$N$3+
                                                                 VLOOKUP(CONCATENATE('DGNB LCA Results'!$K$3,"_",E369),$A$2:$F$350,4,FALSE)*'DGNB LCA Results'!$L$3,
IF('DGNB LCA Results'!$P$4=1,VLOOKUP(CONCATENATE('DGNB LCA Results'!$M$3,"_",E369), $A$2:$F$350,4,FALSE)*'DGNB LCA Results'!$N$3,0))))</f>
        <v>0</v>
      </c>
      <c r="E369">
        <v>70</v>
      </c>
      <c r="F369" t="s">
        <v>193</v>
      </c>
    </row>
    <row r="370" spans="1:6" x14ac:dyDescent="0.2">
      <c r="A370" t="str">
        <f t="shared" si="5"/>
        <v>MIX12_75</v>
      </c>
      <c r="B370">
        <f>IF('DGNB LCA Results'!$P$4=4,VLOOKUP(CONCATENATE('DGNB LCA Results'!$M$3,"_",E370), $A$2:$F$350,2,FALSE)*'DGNB LCA Results'!$N$3+
                                                                  VLOOKUP(CONCATENATE('DGNB LCA Results'!$K$3,"_",E370), $A$2:$F$350,2,FALSE)*'DGNB LCA Results'!$L$3+
                                                                  VLOOKUP(CONCATENATE('DGNB LCA Results'!$I$3,"_",E370), $A$2:$F$350,2,FALSE)*'DGNB LCA Results'!$J$3+
                                                                  VLOOKUP(CONCATENATE('DGNB LCA Results'!$G$3,"_",E370), $A$2:$F$350,2,FALSE)*'DGNB LCA Results'!$H$3,
IF('DGNB LCA Results'!$P$4=3,VLOOKUP(CONCATENATE('DGNB LCA Results'!$M$3,"_",E370), $A$2:$F$350,2,FALSE)*'DGNB LCA Results'!$N$3+
                                                                VLOOKUP(CONCATENATE('DGNB LCA Results'!$K$3,"_",E370), $A$2:$F$350,2,FALSE)*'DGNB LCA Results'!$L$3+
                                                                VLOOKUP(CONCATENATE('DGNB LCA Results'!$I$3,"_",E370),$A$2:$F$350,2,FALSE)*'DGNB LCA Results'!$J$3,
IF('DGNB LCA Results'!$P$4=2,VLOOKUP(CONCATENATE('DGNB LCA Results'!$M$3,"_",E370), $A$2:$F$350,2,FALSE)*'DGNB LCA Results'!$N$3+
                                                                 VLOOKUP(CONCATENATE('DGNB LCA Results'!$K$3,"_",E370),$A$2:$F$350,2,FALSE)*'DGNB LCA Results'!$L$3,
IF('DGNB LCA Results'!$P$4=1,VLOOKUP(CONCATENATE('DGNB LCA Results'!$M$3,"_",E370), $A$2:$F$350,2,FALSE)*'DGNB LCA Results'!$N$3,0))))</f>
        <v>0</v>
      </c>
      <c r="C370">
        <f>IF('DGNB LCA Results'!$P$4=4,VLOOKUP(CONCATENATE('DGNB LCA Results'!$M$3,"_",E370), $A$2:$F$350,3,FALSE)*'DGNB LCA Results'!$N$3+
                                                                  VLOOKUP(CONCATENATE('DGNB LCA Results'!$K$3,"_",E370), $A$2:$F$350,3,FALSE)*'DGNB LCA Results'!$L$3+
                                                                  VLOOKUP(CONCATENATE('DGNB LCA Results'!$I$3,"_",E370), $A$2:$F$350,3,FALSE)*'DGNB LCA Results'!$J$3+
                                                                  VLOOKUP(CONCATENATE('DGNB LCA Results'!$G$3,"_",E370), $A$2:$F$350,3,FALSE)*'DGNB LCA Results'!$H$3,
IF('DGNB LCA Results'!$P$4=3,VLOOKUP(CONCATENATE('DGNB LCA Results'!$M$3,"_",E370), $A$2:$F$350,3,FALSE)*'DGNB LCA Results'!$N$3+
                                                                VLOOKUP(CONCATENATE('DGNB LCA Results'!$K$3,"_",E370), $A$2:$F$350,3,FALSE)*'DGNB LCA Results'!$L$3+
                                                                VLOOKUP(CONCATENATE('DGNB LCA Results'!$I$3,"_",E370),$A$2:$F$350,3,FALSE)*'DGNB LCA Results'!$J$3,
IF('DGNB LCA Results'!$P$4=2,VLOOKUP(CONCATENATE('DGNB LCA Results'!$M$3,"_",E370), $A$2:$F$350,3,FALSE)*'DGNB LCA Results'!$N$3+
                                                                 VLOOKUP(CONCATENATE('DGNB LCA Results'!$K$3,"_",E370),$A$2:$F$350,3,FALSE)*'DGNB LCA Results'!$L$3,
IF('DGNB LCA Results'!$P$4=1,VLOOKUP(CONCATENATE('DGNB LCA Results'!$M$3,"_",E370), $A$2:$F$350,3,FALSE)*'DGNB LCA Results'!$N$3,0))))</f>
        <v>0</v>
      </c>
      <c r="D370">
        <f>IF('DGNB LCA Results'!$P$4=4,VLOOKUP(CONCATENATE('DGNB LCA Results'!$M$3,"_",E370), $A$2:$F$350,4,FALSE)*'DGNB LCA Results'!$N$3+
                                                                  VLOOKUP(CONCATENATE('DGNB LCA Results'!$K$3,"_",E370), $A$2:$F$350,4,FALSE)*'DGNB LCA Results'!$L$3+
                                                                  VLOOKUP(CONCATENATE('DGNB LCA Results'!$I$3,"_",E370), $A$2:$F$350,4,FALSE)*'DGNB LCA Results'!$J$3+
                                                                  VLOOKUP(CONCATENATE('DGNB LCA Results'!$G$3,"_",E370), $A$2:$F$350,4,FALSE)*'DGNB LCA Results'!$H$3,
IF('DGNB LCA Results'!$P$4=3,VLOOKUP(CONCATENATE('DGNB LCA Results'!$M$3,"_",E370), $A$2:$F$350,4,FALSE)*'DGNB LCA Results'!$N$3+
                                                                VLOOKUP(CONCATENATE('DGNB LCA Results'!$K$3,"_",E370), $A$2:$F$350,4,FALSE)*'DGNB LCA Results'!$L$3+
                                                                VLOOKUP(CONCATENATE('DGNB LCA Results'!$I$3,"_",E370),$A$2:$F$350,4,FALSE)*'DGNB LCA Results'!$J$3,
IF('DGNB LCA Results'!$P$4=2,VLOOKUP(CONCATENATE('DGNB LCA Results'!$M$3,"_",E370), $A$2:$F$350,4,FALSE)*'DGNB LCA Results'!$N$3+
                                                                 VLOOKUP(CONCATENATE('DGNB LCA Results'!$K$3,"_",E370),$A$2:$F$350,4,FALSE)*'DGNB LCA Results'!$L$3,
IF('DGNB LCA Results'!$P$4=1,VLOOKUP(CONCATENATE('DGNB LCA Results'!$M$3,"_",E370), $A$2:$F$350,4,FALSE)*'DGNB LCA Results'!$N$3,0))))</f>
        <v>0</v>
      </c>
      <c r="E370">
        <v>75</v>
      </c>
      <c r="F370" t="s">
        <v>193</v>
      </c>
    </row>
    <row r="371" spans="1:6" x14ac:dyDescent="0.2">
      <c r="A371" t="str">
        <f t="shared" si="5"/>
        <v>MIX12_80</v>
      </c>
      <c r="B371">
        <f>IF('DGNB LCA Results'!$P$4=4,VLOOKUP(CONCATENATE('DGNB LCA Results'!$M$3,"_",E371), $A$2:$F$350,2,FALSE)*'DGNB LCA Results'!$N$3+
                                                                  VLOOKUP(CONCATENATE('DGNB LCA Results'!$K$3,"_",E371), $A$2:$F$350,2,FALSE)*'DGNB LCA Results'!$L$3+
                                                                  VLOOKUP(CONCATENATE('DGNB LCA Results'!$I$3,"_",E371), $A$2:$F$350,2,FALSE)*'DGNB LCA Results'!$J$3+
                                                                  VLOOKUP(CONCATENATE('DGNB LCA Results'!$G$3,"_",E371), $A$2:$F$350,2,FALSE)*'DGNB LCA Results'!$H$3,
IF('DGNB LCA Results'!$P$4=3,VLOOKUP(CONCATENATE('DGNB LCA Results'!$M$3,"_",E371), $A$2:$F$350,2,FALSE)*'DGNB LCA Results'!$N$3+
                                                                VLOOKUP(CONCATENATE('DGNB LCA Results'!$K$3,"_",E371), $A$2:$F$350,2,FALSE)*'DGNB LCA Results'!$L$3+
                                                                VLOOKUP(CONCATENATE('DGNB LCA Results'!$I$3,"_",E371),$A$2:$F$350,2,FALSE)*'DGNB LCA Results'!$J$3,
IF('DGNB LCA Results'!$P$4=2,VLOOKUP(CONCATENATE('DGNB LCA Results'!$M$3,"_",E371), $A$2:$F$350,2,FALSE)*'DGNB LCA Results'!$N$3+
                                                                 VLOOKUP(CONCATENATE('DGNB LCA Results'!$K$3,"_",E371),$A$2:$F$350,2,FALSE)*'DGNB LCA Results'!$L$3,
IF('DGNB LCA Results'!$P$4=1,VLOOKUP(CONCATENATE('DGNB LCA Results'!$M$3,"_",E371), $A$2:$F$350,2,FALSE)*'DGNB LCA Results'!$N$3,0))))</f>
        <v>0</v>
      </c>
      <c r="C371">
        <f>IF('DGNB LCA Results'!$P$4=4,VLOOKUP(CONCATENATE('DGNB LCA Results'!$M$3,"_",E371), $A$2:$F$350,3,FALSE)*'DGNB LCA Results'!$N$3+
                                                                  VLOOKUP(CONCATENATE('DGNB LCA Results'!$K$3,"_",E371), $A$2:$F$350,3,FALSE)*'DGNB LCA Results'!$L$3+
                                                                  VLOOKUP(CONCATENATE('DGNB LCA Results'!$I$3,"_",E371), $A$2:$F$350,3,FALSE)*'DGNB LCA Results'!$J$3+
                                                                  VLOOKUP(CONCATENATE('DGNB LCA Results'!$G$3,"_",E371), $A$2:$F$350,3,FALSE)*'DGNB LCA Results'!$H$3,
IF('DGNB LCA Results'!$P$4=3,VLOOKUP(CONCATENATE('DGNB LCA Results'!$M$3,"_",E371), $A$2:$F$350,3,FALSE)*'DGNB LCA Results'!$N$3+
                                                                VLOOKUP(CONCATENATE('DGNB LCA Results'!$K$3,"_",E371), $A$2:$F$350,3,FALSE)*'DGNB LCA Results'!$L$3+
                                                                VLOOKUP(CONCATENATE('DGNB LCA Results'!$I$3,"_",E371),$A$2:$F$350,3,FALSE)*'DGNB LCA Results'!$J$3,
IF('DGNB LCA Results'!$P$4=2,VLOOKUP(CONCATENATE('DGNB LCA Results'!$M$3,"_",E371), $A$2:$F$350,3,FALSE)*'DGNB LCA Results'!$N$3+
                                                                 VLOOKUP(CONCATENATE('DGNB LCA Results'!$K$3,"_",E371),$A$2:$F$350,3,FALSE)*'DGNB LCA Results'!$L$3,
IF('DGNB LCA Results'!$P$4=1,VLOOKUP(CONCATENATE('DGNB LCA Results'!$M$3,"_",E371), $A$2:$F$350,3,FALSE)*'DGNB LCA Results'!$N$3,0))))</f>
        <v>0</v>
      </c>
      <c r="D371">
        <f>IF('DGNB LCA Results'!$P$4=4,VLOOKUP(CONCATENATE('DGNB LCA Results'!$M$3,"_",E371), $A$2:$F$350,4,FALSE)*'DGNB LCA Results'!$N$3+
                                                                  VLOOKUP(CONCATENATE('DGNB LCA Results'!$K$3,"_",E371), $A$2:$F$350,4,FALSE)*'DGNB LCA Results'!$L$3+
                                                                  VLOOKUP(CONCATENATE('DGNB LCA Results'!$I$3,"_",E371), $A$2:$F$350,4,FALSE)*'DGNB LCA Results'!$J$3+
                                                                  VLOOKUP(CONCATENATE('DGNB LCA Results'!$G$3,"_",E371), $A$2:$F$350,4,FALSE)*'DGNB LCA Results'!$H$3,
IF('DGNB LCA Results'!$P$4=3,VLOOKUP(CONCATENATE('DGNB LCA Results'!$M$3,"_",E371), $A$2:$F$350,4,FALSE)*'DGNB LCA Results'!$N$3+
                                                                VLOOKUP(CONCATENATE('DGNB LCA Results'!$K$3,"_",E371), $A$2:$F$350,4,FALSE)*'DGNB LCA Results'!$L$3+
                                                                VLOOKUP(CONCATENATE('DGNB LCA Results'!$I$3,"_",E371),$A$2:$F$350,4,FALSE)*'DGNB LCA Results'!$J$3,
IF('DGNB LCA Results'!$P$4=2,VLOOKUP(CONCATENATE('DGNB LCA Results'!$M$3,"_",E371), $A$2:$F$350,4,FALSE)*'DGNB LCA Results'!$N$3+
                                                                 VLOOKUP(CONCATENATE('DGNB LCA Results'!$K$3,"_",E371),$A$2:$F$350,4,FALSE)*'DGNB LCA Results'!$L$3,
IF('DGNB LCA Results'!$P$4=1,VLOOKUP(CONCATENATE('DGNB LCA Results'!$M$3,"_",E371), $A$2:$F$350,4,FALSE)*'DGNB LCA Results'!$N$3,0))))</f>
        <v>0</v>
      </c>
      <c r="E371">
        <v>80</v>
      </c>
      <c r="F371" t="s">
        <v>193</v>
      </c>
    </row>
    <row r="372" spans="1:6" x14ac:dyDescent="0.2">
      <c r="A372" t="str">
        <f t="shared" si="5"/>
        <v>MIX12_90</v>
      </c>
      <c r="B372">
        <f>IF('DGNB LCA Results'!$P$4=4,VLOOKUP(CONCATENATE('DGNB LCA Results'!$M$3,"_",E372), $A$2:$F$350,2,FALSE)*'DGNB LCA Results'!$N$3+
                                                                  VLOOKUP(CONCATENATE('DGNB LCA Results'!$K$3,"_",E372), $A$2:$F$350,2,FALSE)*'DGNB LCA Results'!$L$3+
                                                                  VLOOKUP(CONCATENATE('DGNB LCA Results'!$I$3,"_",E372), $A$2:$F$350,2,FALSE)*'DGNB LCA Results'!$J$3+
                                                                  VLOOKUP(CONCATENATE('DGNB LCA Results'!$G$3,"_",E372), $A$2:$F$350,2,FALSE)*'DGNB LCA Results'!$H$3,
IF('DGNB LCA Results'!$P$4=3,VLOOKUP(CONCATENATE('DGNB LCA Results'!$M$3,"_",E372), $A$2:$F$350,2,FALSE)*'DGNB LCA Results'!$N$3+
                                                                VLOOKUP(CONCATENATE('DGNB LCA Results'!$K$3,"_",E372), $A$2:$F$350,2,FALSE)*'DGNB LCA Results'!$L$3+
                                                                VLOOKUP(CONCATENATE('DGNB LCA Results'!$I$3,"_",E372),$A$2:$F$350,2,FALSE)*'DGNB LCA Results'!$J$3,
IF('DGNB LCA Results'!$P$4=2,VLOOKUP(CONCATENATE('DGNB LCA Results'!$M$3,"_",E372), $A$2:$F$350,2,FALSE)*'DGNB LCA Results'!$N$3+
                                                                 VLOOKUP(CONCATENATE('DGNB LCA Results'!$K$3,"_",E372),$A$2:$F$350,2,FALSE)*'DGNB LCA Results'!$L$3,
IF('DGNB LCA Results'!$P$4=1,VLOOKUP(CONCATENATE('DGNB LCA Results'!$M$3,"_",E372), $A$2:$F$350,2,FALSE)*'DGNB LCA Results'!$N$3,0))))</f>
        <v>0</v>
      </c>
      <c r="C372">
        <f>IF('DGNB LCA Results'!$P$4=4,VLOOKUP(CONCATENATE('DGNB LCA Results'!$M$3,"_",E372), $A$2:$F$350,3,FALSE)*'DGNB LCA Results'!$N$3+
                                                                  VLOOKUP(CONCATENATE('DGNB LCA Results'!$K$3,"_",E372), $A$2:$F$350,3,FALSE)*'DGNB LCA Results'!$L$3+
                                                                  VLOOKUP(CONCATENATE('DGNB LCA Results'!$I$3,"_",E372), $A$2:$F$350,3,FALSE)*'DGNB LCA Results'!$J$3+
                                                                  VLOOKUP(CONCATENATE('DGNB LCA Results'!$G$3,"_",E372), $A$2:$F$350,3,FALSE)*'DGNB LCA Results'!$H$3,
IF('DGNB LCA Results'!$P$4=3,VLOOKUP(CONCATENATE('DGNB LCA Results'!$M$3,"_",E372), $A$2:$F$350,3,FALSE)*'DGNB LCA Results'!$N$3+
                                                                VLOOKUP(CONCATENATE('DGNB LCA Results'!$K$3,"_",E372), $A$2:$F$350,3,FALSE)*'DGNB LCA Results'!$L$3+
                                                                VLOOKUP(CONCATENATE('DGNB LCA Results'!$I$3,"_",E372),$A$2:$F$350,3,FALSE)*'DGNB LCA Results'!$J$3,
IF('DGNB LCA Results'!$P$4=2,VLOOKUP(CONCATENATE('DGNB LCA Results'!$M$3,"_",E372), $A$2:$F$350,3,FALSE)*'DGNB LCA Results'!$N$3+
                                                                 VLOOKUP(CONCATENATE('DGNB LCA Results'!$K$3,"_",E372),$A$2:$F$350,3,FALSE)*'DGNB LCA Results'!$L$3,
IF('DGNB LCA Results'!$P$4=1,VLOOKUP(CONCATENATE('DGNB LCA Results'!$M$3,"_",E372), $A$2:$F$350,3,FALSE)*'DGNB LCA Results'!$N$3,0))))</f>
        <v>0</v>
      </c>
      <c r="D372">
        <f>IF('DGNB LCA Results'!$P$4=4,VLOOKUP(CONCATENATE('DGNB LCA Results'!$M$3,"_",E372), $A$2:$F$350,4,FALSE)*'DGNB LCA Results'!$N$3+
                                                                  VLOOKUP(CONCATENATE('DGNB LCA Results'!$K$3,"_",E372), $A$2:$F$350,4,FALSE)*'DGNB LCA Results'!$L$3+
                                                                  VLOOKUP(CONCATENATE('DGNB LCA Results'!$I$3,"_",E372), $A$2:$F$350,4,FALSE)*'DGNB LCA Results'!$J$3+
                                                                  VLOOKUP(CONCATENATE('DGNB LCA Results'!$G$3,"_",E372), $A$2:$F$350,4,FALSE)*'DGNB LCA Results'!$H$3,
IF('DGNB LCA Results'!$P$4=3,VLOOKUP(CONCATENATE('DGNB LCA Results'!$M$3,"_",E372), $A$2:$F$350,4,FALSE)*'DGNB LCA Results'!$N$3+
                                                                VLOOKUP(CONCATENATE('DGNB LCA Results'!$K$3,"_",E372), $A$2:$F$350,4,FALSE)*'DGNB LCA Results'!$L$3+
                                                                VLOOKUP(CONCATENATE('DGNB LCA Results'!$I$3,"_",E372),$A$2:$F$350,4,FALSE)*'DGNB LCA Results'!$J$3,
IF('DGNB LCA Results'!$P$4=2,VLOOKUP(CONCATENATE('DGNB LCA Results'!$M$3,"_",E372), $A$2:$F$350,4,FALSE)*'DGNB LCA Results'!$N$3+
                                                                 VLOOKUP(CONCATENATE('DGNB LCA Results'!$K$3,"_",E372),$A$2:$F$350,4,FALSE)*'DGNB LCA Results'!$L$3,
IF('DGNB LCA Results'!$P$4=1,VLOOKUP(CONCATENATE('DGNB LCA Results'!$M$3,"_",E372), $A$2:$F$350,4,FALSE)*'DGNB LCA Results'!$N$3,0))))</f>
        <v>0</v>
      </c>
      <c r="E372">
        <v>90</v>
      </c>
      <c r="F372" t="s">
        <v>193</v>
      </c>
    </row>
    <row r="373" spans="1:6" x14ac:dyDescent="0.2">
      <c r="A373" t="str">
        <f t="shared" si="5"/>
        <v>MIX12_100</v>
      </c>
      <c r="B373">
        <f>IF('DGNB LCA Results'!$P$4=4,VLOOKUP(CONCATENATE('DGNB LCA Results'!$M$3,"_",E373), $A$2:$F$350,2,FALSE)*'DGNB LCA Results'!$N$3+
                                                                  VLOOKUP(CONCATENATE('DGNB LCA Results'!$K$3,"_",E373), $A$2:$F$350,2,FALSE)*'DGNB LCA Results'!$L$3+
                                                                  VLOOKUP(CONCATENATE('DGNB LCA Results'!$I$3,"_",E373), $A$2:$F$350,2,FALSE)*'DGNB LCA Results'!$J$3+
                                                                  VLOOKUP(CONCATENATE('DGNB LCA Results'!$G$3,"_",E373), $A$2:$F$350,2,FALSE)*'DGNB LCA Results'!$H$3,
IF('DGNB LCA Results'!$P$4=3,VLOOKUP(CONCATENATE('DGNB LCA Results'!$M$3,"_",E373), $A$2:$F$350,2,FALSE)*'DGNB LCA Results'!$N$3+
                                                                VLOOKUP(CONCATENATE('DGNB LCA Results'!$K$3,"_",E373), $A$2:$F$350,2,FALSE)*'DGNB LCA Results'!$L$3+
                                                                VLOOKUP(CONCATENATE('DGNB LCA Results'!$I$3,"_",E373),$A$2:$F$350,2,FALSE)*'DGNB LCA Results'!$J$3,
IF('DGNB LCA Results'!$P$4=2,VLOOKUP(CONCATENATE('DGNB LCA Results'!$M$3,"_",E373), $A$2:$F$350,2,FALSE)*'DGNB LCA Results'!$N$3+
                                                                 VLOOKUP(CONCATENATE('DGNB LCA Results'!$K$3,"_",E373),$A$2:$F$350,2,FALSE)*'DGNB LCA Results'!$L$3,
IF('DGNB LCA Results'!$P$4=1,VLOOKUP(CONCATENATE('DGNB LCA Results'!$M$3,"_",E373), $A$2:$F$350,2,FALSE)*'DGNB LCA Results'!$N$3,0))))</f>
        <v>0</v>
      </c>
      <c r="C373">
        <f>IF('DGNB LCA Results'!$P$4=4,VLOOKUP(CONCATENATE('DGNB LCA Results'!$M$3,"_",E373), $A$2:$F$350,3,FALSE)*'DGNB LCA Results'!$N$3+
                                                                  VLOOKUP(CONCATENATE('DGNB LCA Results'!$K$3,"_",E373), $A$2:$F$350,3,FALSE)*'DGNB LCA Results'!$L$3+
                                                                  VLOOKUP(CONCATENATE('DGNB LCA Results'!$I$3,"_",E373), $A$2:$F$350,3,FALSE)*'DGNB LCA Results'!$J$3+
                                                                  VLOOKUP(CONCATENATE('DGNB LCA Results'!$G$3,"_",E373), $A$2:$F$350,3,FALSE)*'DGNB LCA Results'!$H$3,
IF('DGNB LCA Results'!$P$4=3,VLOOKUP(CONCATENATE('DGNB LCA Results'!$M$3,"_",E373), $A$2:$F$350,3,FALSE)*'DGNB LCA Results'!$N$3+
                                                                VLOOKUP(CONCATENATE('DGNB LCA Results'!$K$3,"_",E373), $A$2:$F$350,3,FALSE)*'DGNB LCA Results'!$L$3+
                                                                VLOOKUP(CONCATENATE('DGNB LCA Results'!$I$3,"_",E373),$A$2:$F$350,3,FALSE)*'DGNB LCA Results'!$J$3,
IF('DGNB LCA Results'!$P$4=2,VLOOKUP(CONCATENATE('DGNB LCA Results'!$M$3,"_",E373), $A$2:$F$350,3,FALSE)*'DGNB LCA Results'!$N$3+
                                                                 VLOOKUP(CONCATENATE('DGNB LCA Results'!$K$3,"_",E373),$A$2:$F$350,3,FALSE)*'DGNB LCA Results'!$L$3,
IF('DGNB LCA Results'!$P$4=1,VLOOKUP(CONCATENATE('DGNB LCA Results'!$M$3,"_",E373), $A$2:$F$350,3,FALSE)*'DGNB LCA Results'!$N$3,0))))</f>
        <v>0</v>
      </c>
      <c r="D373">
        <f>IF('DGNB LCA Results'!$P$4=4,VLOOKUP(CONCATENATE('DGNB LCA Results'!$M$3,"_",E373), $A$2:$F$350,4,FALSE)*'DGNB LCA Results'!$N$3+
                                                                  VLOOKUP(CONCATENATE('DGNB LCA Results'!$K$3,"_",E373), $A$2:$F$350,4,FALSE)*'DGNB LCA Results'!$L$3+
                                                                  VLOOKUP(CONCATENATE('DGNB LCA Results'!$I$3,"_",E373), $A$2:$F$350,4,FALSE)*'DGNB LCA Results'!$J$3+
                                                                  VLOOKUP(CONCATENATE('DGNB LCA Results'!$G$3,"_",E373), $A$2:$F$350,4,FALSE)*'DGNB LCA Results'!$H$3,
IF('DGNB LCA Results'!$P$4=3,VLOOKUP(CONCATENATE('DGNB LCA Results'!$M$3,"_",E373), $A$2:$F$350,4,FALSE)*'DGNB LCA Results'!$N$3+
                                                                VLOOKUP(CONCATENATE('DGNB LCA Results'!$K$3,"_",E373), $A$2:$F$350,4,FALSE)*'DGNB LCA Results'!$L$3+
                                                                VLOOKUP(CONCATENATE('DGNB LCA Results'!$I$3,"_",E373),$A$2:$F$350,4,FALSE)*'DGNB LCA Results'!$J$3,
IF('DGNB LCA Results'!$P$4=2,VLOOKUP(CONCATENATE('DGNB LCA Results'!$M$3,"_",E373), $A$2:$F$350,4,FALSE)*'DGNB LCA Results'!$N$3+
                                                                 VLOOKUP(CONCATENATE('DGNB LCA Results'!$K$3,"_",E373),$A$2:$F$350,4,FALSE)*'DGNB LCA Results'!$L$3,
IF('DGNB LCA Results'!$P$4=1,VLOOKUP(CONCATENATE('DGNB LCA Results'!$M$3,"_",E373), $A$2:$F$350,4,FALSE)*'DGNB LCA Results'!$N$3,0))))</f>
        <v>0</v>
      </c>
      <c r="E373">
        <v>100</v>
      </c>
      <c r="F373" t="s">
        <v>193</v>
      </c>
    </row>
    <row r="374" spans="1:6" x14ac:dyDescent="0.2">
      <c r="A374" t="str">
        <f t="shared" si="5"/>
        <v/>
      </c>
    </row>
    <row r="375" spans="1:6" x14ac:dyDescent="0.2">
      <c r="A375" t="str">
        <f t="shared" si="5"/>
        <v>MIX15_10</v>
      </c>
      <c r="B375">
        <f>IF('DGNB LCA Results'!$P$4=4,VLOOKUP(CONCATENATE('DGNB LCA Results'!$M$3,"_",E375), $A$2:$F$350,2,FALSE)*'DGNB LCA Results'!$N$3+
                                                                  VLOOKUP(CONCATENATE('DGNB LCA Results'!$K$3,"_",E375), $A$2:$F$350,2,FALSE)*'DGNB LCA Results'!$L$3+
                                                                  VLOOKUP(CONCATENATE('DGNB LCA Results'!$I$3,"_",E375), $A$2:$F$350,2,FALSE)*'DGNB LCA Results'!$J$3+
                                                                  VLOOKUP(CONCATENATE('DGNB LCA Results'!$G$3,"_",E375), $A$2:$F$350,2,FALSE)*'DGNB LCA Results'!$H$3,
IF('DGNB LCA Results'!$P$4=3,VLOOKUP(CONCATENATE('DGNB LCA Results'!$M$3,"_",E375), $A$2:$F$350,2,FALSE)*'DGNB LCA Results'!$N$3+
                                                                VLOOKUP(CONCATENATE('DGNB LCA Results'!$K$3,"_",E375), $A$2:$F$350,2,FALSE)*'DGNB LCA Results'!$L$3+
                                                                VLOOKUP(CONCATENATE('DGNB LCA Results'!$I$3,"_",E375),$A$2:$F$350,2,FALSE)*'DGNB LCA Results'!$J$3,
IF('DGNB LCA Results'!$P$4=2,VLOOKUP(CONCATENATE('DGNB LCA Results'!$M$3,"_",E375), $A$2:$F$350,2,FALSE)*'DGNB LCA Results'!$N$3+
                                                                 VLOOKUP(CONCATENATE('DGNB LCA Results'!$K$3,"_",E375),$A$2:$F$350,2,FALSE)*'DGNB LCA Results'!$L$3,
IF('DGNB LCA Results'!$P$4=1,VLOOKUP(CONCATENATE('DGNB LCA Results'!$M$3,"_",E375), $A$2:$F$350,2,FALSE)*'DGNB LCA Results'!$N$3,0))))</f>
        <v>0</v>
      </c>
      <c r="C375">
        <f>IF('DGNB LCA Results'!$P$4=4,VLOOKUP(CONCATENATE('DGNB LCA Results'!$M$3,"_",E375), $A$2:$F$350,3,FALSE)*'DGNB LCA Results'!$N$3+
                                                                  VLOOKUP(CONCATENATE('DGNB LCA Results'!$K$3,"_",E375), $A$2:$F$350,3,FALSE)*'DGNB LCA Results'!$L$3+
                                                                  VLOOKUP(CONCATENATE('DGNB LCA Results'!$I$3,"_",E375), $A$2:$F$350,3,FALSE)*'DGNB LCA Results'!$J$3+
                                                                  VLOOKUP(CONCATENATE('DGNB LCA Results'!$G$3,"_",E375), $A$2:$F$350,3,FALSE)*'DGNB LCA Results'!$H$3,
IF('DGNB LCA Results'!$P$4=3,VLOOKUP(CONCATENATE('DGNB LCA Results'!$M$3,"_",E375), $A$2:$F$350,3,FALSE)*'DGNB LCA Results'!$N$3+
                                                                VLOOKUP(CONCATENATE('DGNB LCA Results'!$K$3,"_",E375), $A$2:$F$350,3,FALSE)*'DGNB LCA Results'!$L$3+
                                                                VLOOKUP(CONCATENATE('DGNB LCA Results'!$I$3,"_",E375),$A$2:$F$350,3,FALSE)*'DGNB LCA Results'!$J$3,
IF('DGNB LCA Results'!$P$4=2,VLOOKUP(CONCATENATE('DGNB LCA Results'!$M$3,"_",E375), $A$2:$F$350,3,FALSE)*'DGNB LCA Results'!$N$3+
                                                                 VLOOKUP(CONCATENATE('DGNB LCA Results'!$K$3,"_",E375),$A$2:$F$350,3,FALSE)*'DGNB LCA Results'!$L$3,
IF('DGNB LCA Results'!$P$4=1,VLOOKUP(CONCATENATE('DGNB LCA Results'!$M$3,"_",E375), $A$2:$F$350,3,FALSE)*'DGNB LCA Results'!$N$3,0))))</f>
        <v>0</v>
      </c>
      <c r="D375">
        <f>IF('DGNB LCA Results'!$P$4=4,VLOOKUP(CONCATENATE('DGNB LCA Results'!$M$3,"_",E375), $A$2:$F$350,4,FALSE)*'DGNB LCA Results'!$N$3+
                                                                  VLOOKUP(CONCATENATE('DGNB LCA Results'!$K$3,"_",E375), $A$2:$F$350,4,FALSE)*'DGNB LCA Results'!$L$3+
                                                                  VLOOKUP(CONCATENATE('DGNB LCA Results'!$I$3,"_",E375), $A$2:$F$350,4,FALSE)*'DGNB LCA Results'!$J$3+
                                                                  VLOOKUP(CONCATENATE('DGNB LCA Results'!$G$3,"_",E375), $A$2:$F$350,4,FALSE)*'DGNB LCA Results'!$H$3,
IF('DGNB LCA Results'!$P$4=3,VLOOKUP(CONCATENATE('DGNB LCA Results'!$M$3,"_",E375), $A$2:$F$350,4,FALSE)*'DGNB LCA Results'!$N$3+
                                                                VLOOKUP(CONCATENATE('DGNB LCA Results'!$K$3,"_",E375), $A$2:$F$350,4,FALSE)*'DGNB LCA Results'!$L$3+
                                                                VLOOKUP(CONCATENATE('DGNB LCA Results'!$I$3,"_",E375),$A$2:$F$350,4,FALSE)*'DGNB LCA Results'!$J$3,
IF('DGNB LCA Results'!$P$4=2,VLOOKUP(CONCATENATE('DGNB LCA Results'!$M$3,"_",E375), $A$2:$F$350,4,FALSE)*'DGNB LCA Results'!$N$3+
                                                                 VLOOKUP(CONCATENATE('DGNB LCA Results'!$K$3,"_",E375),$A$2:$F$350,4,FALSE)*'DGNB LCA Results'!$L$3,
IF('DGNB LCA Results'!$P$4=1,VLOOKUP(CONCATENATE('DGNB LCA Results'!$M$3,"_",E375), $A$2:$F$350,4,FALSE)*'DGNB LCA Results'!$N$3,0))))</f>
        <v>0</v>
      </c>
      <c r="E375">
        <v>10</v>
      </c>
      <c r="F375" t="s">
        <v>194</v>
      </c>
    </row>
    <row r="376" spans="1:6" x14ac:dyDescent="0.2">
      <c r="A376" t="str">
        <f t="shared" si="5"/>
        <v>MIX15_20</v>
      </c>
      <c r="B376">
        <f>IF('DGNB LCA Results'!$P$4=4,VLOOKUP(CONCATENATE('DGNB LCA Results'!$M$3,"_",E376), $A$2:$F$350,2,FALSE)*'DGNB LCA Results'!$N$3+
                                                                  VLOOKUP(CONCATENATE('DGNB LCA Results'!$K$3,"_",E376), $A$2:$F$350,2,FALSE)*'DGNB LCA Results'!$L$3+
                                                                  VLOOKUP(CONCATENATE('DGNB LCA Results'!$I$3,"_",E376), $A$2:$F$350,2,FALSE)*'DGNB LCA Results'!$J$3+
                                                                  VLOOKUP(CONCATENATE('DGNB LCA Results'!$G$3,"_",E376), $A$2:$F$350,2,FALSE)*'DGNB LCA Results'!$H$3,
IF('DGNB LCA Results'!$P$4=3,VLOOKUP(CONCATENATE('DGNB LCA Results'!$M$3,"_",E376), $A$2:$F$350,2,FALSE)*'DGNB LCA Results'!$N$3+
                                                                VLOOKUP(CONCATENATE('DGNB LCA Results'!$K$3,"_",E376), $A$2:$F$350,2,FALSE)*'DGNB LCA Results'!$L$3+
                                                                VLOOKUP(CONCATENATE('DGNB LCA Results'!$I$3,"_",E376),$A$2:$F$350,2,FALSE)*'DGNB LCA Results'!$J$3,
IF('DGNB LCA Results'!$P$4=2,VLOOKUP(CONCATENATE('DGNB LCA Results'!$M$3,"_",E376), $A$2:$F$350,2,FALSE)*'DGNB LCA Results'!$N$3+
                                                                 VLOOKUP(CONCATENATE('DGNB LCA Results'!$K$3,"_",E376),$A$2:$F$350,2,FALSE)*'DGNB LCA Results'!$L$3,
IF('DGNB LCA Results'!$P$4=1,VLOOKUP(CONCATENATE('DGNB LCA Results'!$M$3,"_",E376), $A$2:$F$350,2,FALSE)*'DGNB LCA Results'!$N$3,0))))</f>
        <v>0</v>
      </c>
      <c r="C376">
        <f>IF('DGNB LCA Results'!$P$4=4,VLOOKUP(CONCATENATE('DGNB LCA Results'!$M$3,"_",E376), $A$2:$F$350,3,FALSE)*'DGNB LCA Results'!$N$3+
                                                                  VLOOKUP(CONCATENATE('DGNB LCA Results'!$K$3,"_",E376), $A$2:$F$350,3,FALSE)*'DGNB LCA Results'!$L$3+
                                                                  VLOOKUP(CONCATENATE('DGNB LCA Results'!$I$3,"_",E376), $A$2:$F$350,3,FALSE)*'DGNB LCA Results'!$J$3+
                                                                  VLOOKUP(CONCATENATE('DGNB LCA Results'!$G$3,"_",E376), $A$2:$F$350,3,FALSE)*'DGNB LCA Results'!$H$3,
IF('DGNB LCA Results'!$P$4=3,VLOOKUP(CONCATENATE('DGNB LCA Results'!$M$3,"_",E376), $A$2:$F$350,3,FALSE)*'DGNB LCA Results'!$N$3+
                                                                VLOOKUP(CONCATENATE('DGNB LCA Results'!$K$3,"_",E376), $A$2:$F$350,3,FALSE)*'DGNB LCA Results'!$L$3+
                                                                VLOOKUP(CONCATENATE('DGNB LCA Results'!$I$3,"_",E376),$A$2:$F$350,3,FALSE)*'DGNB LCA Results'!$J$3,
IF('DGNB LCA Results'!$P$4=2,VLOOKUP(CONCATENATE('DGNB LCA Results'!$M$3,"_",E376), $A$2:$F$350,3,FALSE)*'DGNB LCA Results'!$N$3+
                                                                 VLOOKUP(CONCATENATE('DGNB LCA Results'!$K$3,"_",E376),$A$2:$F$350,3,FALSE)*'DGNB LCA Results'!$L$3,
IF('DGNB LCA Results'!$P$4=1,VLOOKUP(CONCATENATE('DGNB LCA Results'!$M$3,"_",E376), $A$2:$F$350,3,FALSE)*'DGNB LCA Results'!$N$3,0))))</f>
        <v>0</v>
      </c>
      <c r="D376">
        <f>IF('DGNB LCA Results'!$P$4=4,VLOOKUP(CONCATENATE('DGNB LCA Results'!$M$3,"_",E376), $A$2:$F$350,4,FALSE)*'DGNB LCA Results'!$N$3+
                                                                  VLOOKUP(CONCATENATE('DGNB LCA Results'!$K$3,"_",E376), $A$2:$F$350,4,FALSE)*'DGNB LCA Results'!$L$3+
                                                                  VLOOKUP(CONCATENATE('DGNB LCA Results'!$I$3,"_",E376), $A$2:$F$350,4,FALSE)*'DGNB LCA Results'!$J$3+
                                                                  VLOOKUP(CONCATENATE('DGNB LCA Results'!$G$3,"_",E376), $A$2:$F$350,4,FALSE)*'DGNB LCA Results'!$H$3,
IF('DGNB LCA Results'!$P$4=3,VLOOKUP(CONCATENATE('DGNB LCA Results'!$M$3,"_",E376), $A$2:$F$350,4,FALSE)*'DGNB LCA Results'!$N$3+
                                                                VLOOKUP(CONCATENATE('DGNB LCA Results'!$K$3,"_",E376), $A$2:$F$350,4,FALSE)*'DGNB LCA Results'!$L$3+
                                                                VLOOKUP(CONCATENATE('DGNB LCA Results'!$I$3,"_",E376),$A$2:$F$350,4,FALSE)*'DGNB LCA Results'!$J$3,
IF('DGNB LCA Results'!$P$4=2,VLOOKUP(CONCATENATE('DGNB LCA Results'!$M$3,"_",E376), $A$2:$F$350,4,FALSE)*'DGNB LCA Results'!$N$3+
                                                                 VLOOKUP(CONCATENATE('DGNB LCA Results'!$K$3,"_",E376),$A$2:$F$350,4,FALSE)*'DGNB LCA Results'!$L$3,
IF('DGNB LCA Results'!$P$4=1,VLOOKUP(CONCATENATE('DGNB LCA Results'!$M$3,"_",E376), $A$2:$F$350,4,FALSE)*'DGNB LCA Results'!$N$3,0))))</f>
        <v>0</v>
      </c>
      <c r="E376">
        <v>20</v>
      </c>
      <c r="F376" t="s">
        <v>194</v>
      </c>
    </row>
    <row r="377" spans="1:6" x14ac:dyDescent="0.2">
      <c r="A377" t="str">
        <f t="shared" si="5"/>
        <v>MIX15_30</v>
      </c>
      <c r="B377">
        <f>IF('DGNB LCA Results'!$P$4=4,VLOOKUP(CONCATENATE('DGNB LCA Results'!$M$3,"_",E377), $A$2:$F$350,2,FALSE)*'DGNB LCA Results'!$N$3+
                                                                  VLOOKUP(CONCATENATE('DGNB LCA Results'!$K$3,"_",E377), $A$2:$F$350,2,FALSE)*'DGNB LCA Results'!$L$3+
                                                                  VLOOKUP(CONCATENATE('DGNB LCA Results'!$I$3,"_",E377), $A$2:$F$350,2,FALSE)*'DGNB LCA Results'!$J$3+
                                                                  VLOOKUP(CONCATENATE('DGNB LCA Results'!$G$3,"_",E377), $A$2:$F$350,2,FALSE)*'DGNB LCA Results'!$H$3,
IF('DGNB LCA Results'!$P$4=3,VLOOKUP(CONCATENATE('DGNB LCA Results'!$M$3,"_",E377), $A$2:$F$350,2,FALSE)*'DGNB LCA Results'!$N$3+
                                                                VLOOKUP(CONCATENATE('DGNB LCA Results'!$K$3,"_",E377), $A$2:$F$350,2,FALSE)*'DGNB LCA Results'!$L$3+
                                                                VLOOKUP(CONCATENATE('DGNB LCA Results'!$I$3,"_",E377),$A$2:$F$350,2,FALSE)*'DGNB LCA Results'!$J$3,
IF('DGNB LCA Results'!$P$4=2,VLOOKUP(CONCATENATE('DGNB LCA Results'!$M$3,"_",E377), $A$2:$F$350,2,FALSE)*'DGNB LCA Results'!$N$3+
                                                                 VLOOKUP(CONCATENATE('DGNB LCA Results'!$K$3,"_",E377),$A$2:$F$350,2,FALSE)*'DGNB LCA Results'!$L$3,
IF('DGNB LCA Results'!$P$4=1,VLOOKUP(CONCATENATE('DGNB LCA Results'!$M$3,"_",E377), $A$2:$F$350,2,FALSE)*'DGNB LCA Results'!$N$3,0))))</f>
        <v>0</v>
      </c>
      <c r="C377">
        <f>IF('DGNB LCA Results'!$P$4=4,VLOOKUP(CONCATENATE('DGNB LCA Results'!$M$3,"_",E377), $A$2:$F$350,3,FALSE)*'DGNB LCA Results'!$N$3+
                                                                  VLOOKUP(CONCATENATE('DGNB LCA Results'!$K$3,"_",E377), $A$2:$F$350,3,FALSE)*'DGNB LCA Results'!$L$3+
                                                                  VLOOKUP(CONCATENATE('DGNB LCA Results'!$I$3,"_",E377), $A$2:$F$350,3,FALSE)*'DGNB LCA Results'!$J$3+
                                                                  VLOOKUP(CONCATENATE('DGNB LCA Results'!$G$3,"_",E377), $A$2:$F$350,3,FALSE)*'DGNB LCA Results'!$H$3,
IF('DGNB LCA Results'!$P$4=3,VLOOKUP(CONCATENATE('DGNB LCA Results'!$M$3,"_",E377), $A$2:$F$350,3,FALSE)*'DGNB LCA Results'!$N$3+
                                                                VLOOKUP(CONCATENATE('DGNB LCA Results'!$K$3,"_",E377), $A$2:$F$350,3,FALSE)*'DGNB LCA Results'!$L$3+
                                                                VLOOKUP(CONCATENATE('DGNB LCA Results'!$I$3,"_",E377),$A$2:$F$350,3,FALSE)*'DGNB LCA Results'!$J$3,
IF('DGNB LCA Results'!$P$4=2,VLOOKUP(CONCATENATE('DGNB LCA Results'!$M$3,"_",E377), $A$2:$F$350,3,FALSE)*'DGNB LCA Results'!$N$3+
                                                                 VLOOKUP(CONCATENATE('DGNB LCA Results'!$K$3,"_",E377),$A$2:$F$350,3,FALSE)*'DGNB LCA Results'!$L$3,
IF('DGNB LCA Results'!$P$4=1,VLOOKUP(CONCATENATE('DGNB LCA Results'!$M$3,"_",E377), $A$2:$F$350,3,FALSE)*'DGNB LCA Results'!$N$3,0))))</f>
        <v>0</v>
      </c>
      <c r="D377">
        <f>IF('DGNB LCA Results'!$P$4=4,VLOOKUP(CONCATENATE('DGNB LCA Results'!$M$3,"_",E377), $A$2:$F$350,4,FALSE)*'DGNB LCA Results'!$N$3+
                                                                  VLOOKUP(CONCATENATE('DGNB LCA Results'!$K$3,"_",E377), $A$2:$F$350,4,FALSE)*'DGNB LCA Results'!$L$3+
                                                                  VLOOKUP(CONCATENATE('DGNB LCA Results'!$I$3,"_",E377), $A$2:$F$350,4,FALSE)*'DGNB LCA Results'!$J$3+
                                                                  VLOOKUP(CONCATENATE('DGNB LCA Results'!$G$3,"_",E377), $A$2:$F$350,4,FALSE)*'DGNB LCA Results'!$H$3,
IF('DGNB LCA Results'!$P$4=3,VLOOKUP(CONCATENATE('DGNB LCA Results'!$M$3,"_",E377), $A$2:$F$350,4,FALSE)*'DGNB LCA Results'!$N$3+
                                                                VLOOKUP(CONCATENATE('DGNB LCA Results'!$K$3,"_",E377), $A$2:$F$350,4,FALSE)*'DGNB LCA Results'!$L$3+
                                                                VLOOKUP(CONCATENATE('DGNB LCA Results'!$I$3,"_",E377),$A$2:$F$350,4,FALSE)*'DGNB LCA Results'!$J$3,
IF('DGNB LCA Results'!$P$4=2,VLOOKUP(CONCATENATE('DGNB LCA Results'!$M$3,"_",E377), $A$2:$F$350,4,FALSE)*'DGNB LCA Results'!$N$3+
                                                                 VLOOKUP(CONCATENATE('DGNB LCA Results'!$K$3,"_",E377),$A$2:$F$350,4,FALSE)*'DGNB LCA Results'!$L$3,
IF('DGNB LCA Results'!$P$4=1,VLOOKUP(CONCATENATE('DGNB LCA Results'!$M$3,"_",E377), $A$2:$F$350,4,FALSE)*'DGNB LCA Results'!$N$3,0))))</f>
        <v>0</v>
      </c>
      <c r="E377">
        <v>30</v>
      </c>
      <c r="F377" t="s">
        <v>194</v>
      </c>
    </row>
    <row r="378" spans="1:6" x14ac:dyDescent="0.2">
      <c r="A378" t="str">
        <f t="shared" si="5"/>
        <v>MIX15_40</v>
      </c>
      <c r="B378">
        <f>IF('DGNB LCA Results'!$P$4=4,VLOOKUP(CONCATENATE('DGNB LCA Results'!$M$3,"_",E378), $A$2:$F$350,2,FALSE)*'DGNB LCA Results'!$N$3+
                                                                  VLOOKUP(CONCATENATE('DGNB LCA Results'!$K$3,"_",E378), $A$2:$F$350,2,FALSE)*'DGNB LCA Results'!$L$3+
                                                                  VLOOKUP(CONCATENATE('DGNB LCA Results'!$I$3,"_",E378), $A$2:$F$350,2,FALSE)*'DGNB LCA Results'!$J$3+
                                                                  VLOOKUP(CONCATENATE('DGNB LCA Results'!$G$3,"_",E378), $A$2:$F$350,2,FALSE)*'DGNB LCA Results'!$H$3,
IF('DGNB LCA Results'!$P$4=3,VLOOKUP(CONCATENATE('DGNB LCA Results'!$M$3,"_",E378), $A$2:$F$350,2,FALSE)*'DGNB LCA Results'!$N$3+
                                                                VLOOKUP(CONCATENATE('DGNB LCA Results'!$K$3,"_",E378), $A$2:$F$350,2,FALSE)*'DGNB LCA Results'!$L$3+
                                                                VLOOKUP(CONCATENATE('DGNB LCA Results'!$I$3,"_",E378),$A$2:$F$350,2,FALSE)*'DGNB LCA Results'!$J$3,
IF('DGNB LCA Results'!$P$4=2,VLOOKUP(CONCATENATE('DGNB LCA Results'!$M$3,"_",E378), $A$2:$F$350,2,FALSE)*'DGNB LCA Results'!$N$3+
                                                                 VLOOKUP(CONCATENATE('DGNB LCA Results'!$K$3,"_",E378),$A$2:$F$350,2,FALSE)*'DGNB LCA Results'!$L$3,
IF('DGNB LCA Results'!$P$4=1,VLOOKUP(CONCATENATE('DGNB LCA Results'!$M$3,"_",E378), $A$2:$F$350,2,FALSE)*'DGNB LCA Results'!$N$3,0))))</f>
        <v>0</v>
      </c>
      <c r="C378">
        <f>IF('DGNB LCA Results'!$P$4=4,VLOOKUP(CONCATENATE('DGNB LCA Results'!$M$3,"_",E378), $A$2:$F$350,3,FALSE)*'DGNB LCA Results'!$N$3+
                                                                  VLOOKUP(CONCATENATE('DGNB LCA Results'!$K$3,"_",E378), $A$2:$F$350,3,FALSE)*'DGNB LCA Results'!$L$3+
                                                                  VLOOKUP(CONCATENATE('DGNB LCA Results'!$I$3,"_",E378), $A$2:$F$350,3,FALSE)*'DGNB LCA Results'!$J$3+
                                                                  VLOOKUP(CONCATENATE('DGNB LCA Results'!$G$3,"_",E378), $A$2:$F$350,3,FALSE)*'DGNB LCA Results'!$H$3,
IF('DGNB LCA Results'!$P$4=3,VLOOKUP(CONCATENATE('DGNB LCA Results'!$M$3,"_",E378), $A$2:$F$350,3,FALSE)*'DGNB LCA Results'!$N$3+
                                                                VLOOKUP(CONCATENATE('DGNB LCA Results'!$K$3,"_",E378), $A$2:$F$350,3,FALSE)*'DGNB LCA Results'!$L$3+
                                                                VLOOKUP(CONCATENATE('DGNB LCA Results'!$I$3,"_",E378),$A$2:$F$350,3,FALSE)*'DGNB LCA Results'!$J$3,
IF('DGNB LCA Results'!$P$4=2,VLOOKUP(CONCATENATE('DGNB LCA Results'!$M$3,"_",E378), $A$2:$F$350,3,FALSE)*'DGNB LCA Results'!$N$3+
                                                                 VLOOKUP(CONCATENATE('DGNB LCA Results'!$K$3,"_",E378),$A$2:$F$350,3,FALSE)*'DGNB LCA Results'!$L$3,
IF('DGNB LCA Results'!$P$4=1,VLOOKUP(CONCATENATE('DGNB LCA Results'!$M$3,"_",E378), $A$2:$F$350,3,FALSE)*'DGNB LCA Results'!$N$3,0))))</f>
        <v>0</v>
      </c>
      <c r="D378">
        <f>IF('DGNB LCA Results'!$P$4=4,VLOOKUP(CONCATENATE('DGNB LCA Results'!$M$3,"_",E378), $A$2:$F$350,4,FALSE)*'DGNB LCA Results'!$N$3+
                                                                  VLOOKUP(CONCATENATE('DGNB LCA Results'!$K$3,"_",E378), $A$2:$F$350,4,FALSE)*'DGNB LCA Results'!$L$3+
                                                                  VLOOKUP(CONCATENATE('DGNB LCA Results'!$I$3,"_",E378), $A$2:$F$350,4,FALSE)*'DGNB LCA Results'!$J$3+
                                                                  VLOOKUP(CONCATENATE('DGNB LCA Results'!$G$3,"_",E378), $A$2:$F$350,4,FALSE)*'DGNB LCA Results'!$H$3,
IF('DGNB LCA Results'!$P$4=3,VLOOKUP(CONCATENATE('DGNB LCA Results'!$M$3,"_",E378), $A$2:$F$350,4,FALSE)*'DGNB LCA Results'!$N$3+
                                                                VLOOKUP(CONCATENATE('DGNB LCA Results'!$K$3,"_",E378), $A$2:$F$350,4,FALSE)*'DGNB LCA Results'!$L$3+
                                                                VLOOKUP(CONCATENATE('DGNB LCA Results'!$I$3,"_",E378),$A$2:$F$350,4,FALSE)*'DGNB LCA Results'!$J$3,
IF('DGNB LCA Results'!$P$4=2,VLOOKUP(CONCATENATE('DGNB LCA Results'!$M$3,"_",E378), $A$2:$F$350,4,FALSE)*'DGNB LCA Results'!$N$3+
                                                                 VLOOKUP(CONCATENATE('DGNB LCA Results'!$K$3,"_",E378),$A$2:$F$350,4,FALSE)*'DGNB LCA Results'!$L$3,
IF('DGNB LCA Results'!$P$4=1,VLOOKUP(CONCATENATE('DGNB LCA Results'!$M$3,"_",E378), $A$2:$F$350,4,FALSE)*'DGNB LCA Results'!$N$3,0))))</f>
        <v>0</v>
      </c>
      <c r="E378">
        <v>40</v>
      </c>
      <c r="F378" t="s">
        <v>194</v>
      </c>
    </row>
    <row r="379" spans="1:6" x14ac:dyDescent="0.2">
      <c r="A379" t="str">
        <f t="shared" si="5"/>
        <v>MIX15_50</v>
      </c>
      <c r="B379">
        <f>IF('DGNB LCA Results'!$P$4=4,VLOOKUP(CONCATENATE('DGNB LCA Results'!$M$3,"_",E379), $A$2:$F$350,2,FALSE)*'DGNB LCA Results'!$N$3+
                                                                  VLOOKUP(CONCATENATE('DGNB LCA Results'!$K$3,"_",E379), $A$2:$F$350,2,FALSE)*'DGNB LCA Results'!$L$3+
                                                                  VLOOKUP(CONCATENATE('DGNB LCA Results'!$I$3,"_",E379), $A$2:$F$350,2,FALSE)*'DGNB LCA Results'!$J$3+
                                                                  VLOOKUP(CONCATENATE('DGNB LCA Results'!$G$3,"_",E379), $A$2:$F$350,2,FALSE)*'DGNB LCA Results'!$H$3,
IF('DGNB LCA Results'!$P$4=3,VLOOKUP(CONCATENATE('DGNB LCA Results'!$M$3,"_",E379), $A$2:$F$350,2,FALSE)*'DGNB LCA Results'!$N$3+
                                                                VLOOKUP(CONCATENATE('DGNB LCA Results'!$K$3,"_",E379), $A$2:$F$350,2,FALSE)*'DGNB LCA Results'!$L$3+
                                                                VLOOKUP(CONCATENATE('DGNB LCA Results'!$I$3,"_",E379),$A$2:$F$350,2,FALSE)*'DGNB LCA Results'!$J$3,
IF('DGNB LCA Results'!$P$4=2,VLOOKUP(CONCATENATE('DGNB LCA Results'!$M$3,"_",E379), $A$2:$F$350,2,FALSE)*'DGNB LCA Results'!$N$3+
                                                                 VLOOKUP(CONCATENATE('DGNB LCA Results'!$K$3,"_",E379),$A$2:$F$350,2,FALSE)*'DGNB LCA Results'!$L$3,
IF('DGNB LCA Results'!$P$4=1,VLOOKUP(CONCATENATE('DGNB LCA Results'!$M$3,"_",E379), $A$2:$F$350,2,FALSE)*'DGNB LCA Results'!$N$3,0))))</f>
        <v>0</v>
      </c>
      <c r="C379">
        <f>IF('DGNB LCA Results'!$P$4=4,VLOOKUP(CONCATENATE('DGNB LCA Results'!$M$3,"_",E379), $A$2:$F$350,3,FALSE)*'DGNB LCA Results'!$N$3+
                                                                  VLOOKUP(CONCATENATE('DGNB LCA Results'!$K$3,"_",E379), $A$2:$F$350,3,FALSE)*'DGNB LCA Results'!$L$3+
                                                                  VLOOKUP(CONCATENATE('DGNB LCA Results'!$I$3,"_",E379), $A$2:$F$350,3,FALSE)*'DGNB LCA Results'!$J$3+
                                                                  VLOOKUP(CONCATENATE('DGNB LCA Results'!$G$3,"_",E379), $A$2:$F$350,3,FALSE)*'DGNB LCA Results'!$H$3,
IF('DGNB LCA Results'!$P$4=3,VLOOKUP(CONCATENATE('DGNB LCA Results'!$M$3,"_",E379), $A$2:$F$350,3,FALSE)*'DGNB LCA Results'!$N$3+
                                                                VLOOKUP(CONCATENATE('DGNB LCA Results'!$K$3,"_",E379), $A$2:$F$350,3,FALSE)*'DGNB LCA Results'!$L$3+
                                                                VLOOKUP(CONCATENATE('DGNB LCA Results'!$I$3,"_",E379),$A$2:$F$350,3,FALSE)*'DGNB LCA Results'!$J$3,
IF('DGNB LCA Results'!$P$4=2,VLOOKUP(CONCATENATE('DGNB LCA Results'!$M$3,"_",E379), $A$2:$F$350,3,FALSE)*'DGNB LCA Results'!$N$3+
                                                                 VLOOKUP(CONCATENATE('DGNB LCA Results'!$K$3,"_",E379),$A$2:$F$350,3,FALSE)*'DGNB LCA Results'!$L$3,
IF('DGNB LCA Results'!$P$4=1,VLOOKUP(CONCATENATE('DGNB LCA Results'!$M$3,"_",E379), $A$2:$F$350,3,FALSE)*'DGNB LCA Results'!$N$3,0))))</f>
        <v>0</v>
      </c>
      <c r="D379">
        <f>IF('DGNB LCA Results'!$P$4=4,VLOOKUP(CONCATENATE('DGNB LCA Results'!$M$3,"_",E379), $A$2:$F$350,4,FALSE)*'DGNB LCA Results'!$N$3+
                                                                  VLOOKUP(CONCATENATE('DGNB LCA Results'!$K$3,"_",E379), $A$2:$F$350,4,FALSE)*'DGNB LCA Results'!$L$3+
                                                                  VLOOKUP(CONCATENATE('DGNB LCA Results'!$I$3,"_",E379), $A$2:$F$350,4,FALSE)*'DGNB LCA Results'!$J$3+
                                                                  VLOOKUP(CONCATENATE('DGNB LCA Results'!$G$3,"_",E379), $A$2:$F$350,4,FALSE)*'DGNB LCA Results'!$H$3,
IF('DGNB LCA Results'!$P$4=3,VLOOKUP(CONCATENATE('DGNB LCA Results'!$M$3,"_",E379), $A$2:$F$350,4,FALSE)*'DGNB LCA Results'!$N$3+
                                                                VLOOKUP(CONCATENATE('DGNB LCA Results'!$K$3,"_",E379), $A$2:$F$350,4,FALSE)*'DGNB LCA Results'!$L$3+
                                                                VLOOKUP(CONCATENATE('DGNB LCA Results'!$I$3,"_",E379),$A$2:$F$350,4,FALSE)*'DGNB LCA Results'!$J$3,
IF('DGNB LCA Results'!$P$4=2,VLOOKUP(CONCATENATE('DGNB LCA Results'!$M$3,"_",E379), $A$2:$F$350,4,FALSE)*'DGNB LCA Results'!$N$3+
                                                                 VLOOKUP(CONCATENATE('DGNB LCA Results'!$K$3,"_",E379),$A$2:$F$350,4,FALSE)*'DGNB LCA Results'!$L$3,
IF('DGNB LCA Results'!$P$4=1,VLOOKUP(CONCATENATE('DGNB LCA Results'!$M$3,"_",E379), $A$2:$F$350,4,FALSE)*'DGNB LCA Results'!$N$3,0))))</f>
        <v>0</v>
      </c>
      <c r="E379">
        <v>50</v>
      </c>
      <c r="F379" t="s">
        <v>194</v>
      </c>
    </row>
    <row r="380" spans="1:6" x14ac:dyDescent="0.2">
      <c r="A380" t="str">
        <f t="shared" si="5"/>
        <v>MIX15_60</v>
      </c>
      <c r="B380">
        <f>IF('DGNB LCA Results'!$P$4=4,VLOOKUP(CONCATENATE('DGNB LCA Results'!$M$3,"_",E380), $A$2:$F$350,2,FALSE)*'DGNB LCA Results'!$N$3+
                                                                  VLOOKUP(CONCATENATE('DGNB LCA Results'!$K$3,"_",E380), $A$2:$F$350,2,FALSE)*'DGNB LCA Results'!$L$3+
                                                                  VLOOKUP(CONCATENATE('DGNB LCA Results'!$I$3,"_",E380), $A$2:$F$350,2,FALSE)*'DGNB LCA Results'!$J$3+
                                                                  VLOOKUP(CONCATENATE('DGNB LCA Results'!$G$3,"_",E380), $A$2:$F$350,2,FALSE)*'DGNB LCA Results'!$H$3,
IF('DGNB LCA Results'!$P$4=3,VLOOKUP(CONCATENATE('DGNB LCA Results'!$M$3,"_",E380), $A$2:$F$350,2,FALSE)*'DGNB LCA Results'!$N$3+
                                                                VLOOKUP(CONCATENATE('DGNB LCA Results'!$K$3,"_",E380), $A$2:$F$350,2,FALSE)*'DGNB LCA Results'!$L$3+
                                                                VLOOKUP(CONCATENATE('DGNB LCA Results'!$I$3,"_",E380),$A$2:$F$350,2,FALSE)*'DGNB LCA Results'!$J$3,
IF('DGNB LCA Results'!$P$4=2,VLOOKUP(CONCATENATE('DGNB LCA Results'!$M$3,"_",E380), $A$2:$F$350,2,FALSE)*'DGNB LCA Results'!$N$3+
                                                                 VLOOKUP(CONCATENATE('DGNB LCA Results'!$K$3,"_",E380),$A$2:$F$350,2,FALSE)*'DGNB LCA Results'!$L$3,
IF('DGNB LCA Results'!$P$4=1,VLOOKUP(CONCATENATE('DGNB LCA Results'!$M$3,"_",E380), $A$2:$F$350,2,FALSE)*'DGNB LCA Results'!$N$3,0))))</f>
        <v>0</v>
      </c>
      <c r="C380">
        <f>IF('DGNB LCA Results'!$P$4=4,VLOOKUP(CONCATENATE('DGNB LCA Results'!$M$3,"_",E380), $A$2:$F$350,3,FALSE)*'DGNB LCA Results'!$N$3+
                                                                  VLOOKUP(CONCATENATE('DGNB LCA Results'!$K$3,"_",E380), $A$2:$F$350,3,FALSE)*'DGNB LCA Results'!$L$3+
                                                                  VLOOKUP(CONCATENATE('DGNB LCA Results'!$I$3,"_",E380), $A$2:$F$350,3,FALSE)*'DGNB LCA Results'!$J$3+
                                                                  VLOOKUP(CONCATENATE('DGNB LCA Results'!$G$3,"_",E380), $A$2:$F$350,3,FALSE)*'DGNB LCA Results'!$H$3,
IF('DGNB LCA Results'!$P$4=3,VLOOKUP(CONCATENATE('DGNB LCA Results'!$M$3,"_",E380), $A$2:$F$350,3,FALSE)*'DGNB LCA Results'!$N$3+
                                                                VLOOKUP(CONCATENATE('DGNB LCA Results'!$K$3,"_",E380), $A$2:$F$350,3,FALSE)*'DGNB LCA Results'!$L$3+
                                                                VLOOKUP(CONCATENATE('DGNB LCA Results'!$I$3,"_",E380),$A$2:$F$350,3,FALSE)*'DGNB LCA Results'!$J$3,
IF('DGNB LCA Results'!$P$4=2,VLOOKUP(CONCATENATE('DGNB LCA Results'!$M$3,"_",E380), $A$2:$F$350,3,FALSE)*'DGNB LCA Results'!$N$3+
                                                                 VLOOKUP(CONCATENATE('DGNB LCA Results'!$K$3,"_",E380),$A$2:$F$350,3,FALSE)*'DGNB LCA Results'!$L$3,
IF('DGNB LCA Results'!$P$4=1,VLOOKUP(CONCATENATE('DGNB LCA Results'!$M$3,"_",E380), $A$2:$F$350,3,FALSE)*'DGNB LCA Results'!$N$3,0))))</f>
        <v>0</v>
      </c>
      <c r="D380">
        <f>IF('DGNB LCA Results'!$P$4=4,VLOOKUP(CONCATENATE('DGNB LCA Results'!$M$3,"_",E380), $A$2:$F$350,4,FALSE)*'DGNB LCA Results'!$N$3+
                                                                  VLOOKUP(CONCATENATE('DGNB LCA Results'!$K$3,"_",E380), $A$2:$F$350,4,FALSE)*'DGNB LCA Results'!$L$3+
                                                                  VLOOKUP(CONCATENATE('DGNB LCA Results'!$I$3,"_",E380), $A$2:$F$350,4,FALSE)*'DGNB LCA Results'!$J$3+
                                                                  VLOOKUP(CONCATENATE('DGNB LCA Results'!$G$3,"_",E380), $A$2:$F$350,4,FALSE)*'DGNB LCA Results'!$H$3,
IF('DGNB LCA Results'!$P$4=3,VLOOKUP(CONCATENATE('DGNB LCA Results'!$M$3,"_",E380), $A$2:$F$350,4,FALSE)*'DGNB LCA Results'!$N$3+
                                                                VLOOKUP(CONCATENATE('DGNB LCA Results'!$K$3,"_",E380), $A$2:$F$350,4,FALSE)*'DGNB LCA Results'!$L$3+
                                                                VLOOKUP(CONCATENATE('DGNB LCA Results'!$I$3,"_",E380),$A$2:$F$350,4,FALSE)*'DGNB LCA Results'!$J$3,
IF('DGNB LCA Results'!$P$4=2,VLOOKUP(CONCATENATE('DGNB LCA Results'!$M$3,"_",E380), $A$2:$F$350,4,FALSE)*'DGNB LCA Results'!$N$3+
                                                                 VLOOKUP(CONCATENATE('DGNB LCA Results'!$K$3,"_",E380),$A$2:$F$350,4,FALSE)*'DGNB LCA Results'!$L$3,
IF('DGNB LCA Results'!$P$4=1,VLOOKUP(CONCATENATE('DGNB LCA Results'!$M$3,"_",E380), $A$2:$F$350,4,FALSE)*'DGNB LCA Results'!$N$3,0))))</f>
        <v>0</v>
      </c>
      <c r="E380">
        <v>60</v>
      </c>
      <c r="F380" t="s">
        <v>194</v>
      </c>
    </row>
    <row r="381" spans="1:6" x14ac:dyDescent="0.2">
      <c r="A381" t="str">
        <f t="shared" si="5"/>
        <v>MIX15_70</v>
      </c>
      <c r="B381">
        <f>IF('DGNB LCA Results'!$P$4=4,VLOOKUP(CONCATENATE('DGNB LCA Results'!$M$3,"_",E381), $A$2:$F$350,2,FALSE)*'DGNB LCA Results'!$N$3+
                                                                  VLOOKUP(CONCATENATE('DGNB LCA Results'!$K$3,"_",E381), $A$2:$F$350,2,FALSE)*'DGNB LCA Results'!$L$3+
                                                                  VLOOKUP(CONCATENATE('DGNB LCA Results'!$I$3,"_",E381), $A$2:$F$350,2,FALSE)*'DGNB LCA Results'!$J$3+
                                                                  VLOOKUP(CONCATENATE('DGNB LCA Results'!$G$3,"_",E381), $A$2:$F$350,2,FALSE)*'DGNB LCA Results'!$H$3,
IF('DGNB LCA Results'!$P$4=3,VLOOKUP(CONCATENATE('DGNB LCA Results'!$M$3,"_",E381), $A$2:$F$350,2,FALSE)*'DGNB LCA Results'!$N$3+
                                                                VLOOKUP(CONCATENATE('DGNB LCA Results'!$K$3,"_",E381), $A$2:$F$350,2,FALSE)*'DGNB LCA Results'!$L$3+
                                                                VLOOKUP(CONCATENATE('DGNB LCA Results'!$I$3,"_",E381),$A$2:$F$350,2,FALSE)*'DGNB LCA Results'!$J$3,
IF('DGNB LCA Results'!$P$4=2,VLOOKUP(CONCATENATE('DGNB LCA Results'!$M$3,"_",E381), $A$2:$F$350,2,FALSE)*'DGNB LCA Results'!$N$3+
                                                                 VLOOKUP(CONCATENATE('DGNB LCA Results'!$K$3,"_",E381),$A$2:$F$350,2,FALSE)*'DGNB LCA Results'!$L$3,
IF('DGNB LCA Results'!$P$4=1,VLOOKUP(CONCATENATE('DGNB LCA Results'!$M$3,"_",E381), $A$2:$F$350,2,FALSE)*'DGNB LCA Results'!$N$3,0))))</f>
        <v>0</v>
      </c>
      <c r="C381">
        <f>IF('DGNB LCA Results'!$P$4=4,VLOOKUP(CONCATENATE('DGNB LCA Results'!$M$3,"_",E381), $A$2:$F$350,3,FALSE)*'DGNB LCA Results'!$N$3+
                                                                  VLOOKUP(CONCATENATE('DGNB LCA Results'!$K$3,"_",E381), $A$2:$F$350,3,FALSE)*'DGNB LCA Results'!$L$3+
                                                                  VLOOKUP(CONCATENATE('DGNB LCA Results'!$I$3,"_",E381), $A$2:$F$350,3,FALSE)*'DGNB LCA Results'!$J$3+
                                                                  VLOOKUP(CONCATENATE('DGNB LCA Results'!$G$3,"_",E381), $A$2:$F$350,3,FALSE)*'DGNB LCA Results'!$H$3,
IF('DGNB LCA Results'!$P$4=3,VLOOKUP(CONCATENATE('DGNB LCA Results'!$M$3,"_",E381), $A$2:$F$350,3,FALSE)*'DGNB LCA Results'!$N$3+
                                                                VLOOKUP(CONCATENATE('DGNB LCA Results'!$K$3,"_",E381), $A$2:$F$350,3,FALSE)*'DGNB LCA Results'!$L$3+
                                                                VLOOKUP(CONCATENATE('DGNB LCA Results'!$I$3,"_",E381),$A$2:$F$350,3,FALSE)*'DGNB LCA Results'!$J$3,
IF('DGNB LCA Results'!$P$4=2,VLOOKUP(CONCATENATE('DGNB LCA Results'!$M$3,"_",E381), $A$2:$F$350,3,FALSE)*'DGNB LCA Results'!$N$3+
                                                                 VLOOKUP(CONCATENATE('DGNB LCA Results'!$K$3,"_",E381),$A$2:$F$350,3,FALSE)*'DGNB LCA Results'!$L$3,
IF('DGNB LCA Results'!$P$4=1,VLOOKUP(CONCATENATE('DGNB LCA Results'!$M$3,"_",E381), $A$2:$F$350,3,FALSE)*'DGNB LCA Results'!$N$3,0))))</f>
        <v>0</v>
      </c>
      <c r="D381">
        <f>IF('DGNB LCA Results'!$P$4=4,VLOOKUP(CONCATENATE('DGNB LCA Results'!$M$3,"_",E381), $A$2:$F$350,4,FALSE)*'DGNB LCA Results'!$N$3+
                                                                  VLOOKUP(CONCATENATE('DGNB LCA Results'!$K$3,"_",E381), $A$2:$F$350,4,FALSE)*'DGNB LCA Results'!$L$3+
                                                                  VLOOKUP(CONCATENATE('DGNB LCA Results'!$I$3,"_",E381), $A$2:$F$350,4,FALSE)*'DGNB LCA Results'!$J$3+
                                                                  VLOOKUP(CONCATENATE('DGNB LCA Results'!$G$3,"_",E381), $A$2:$F$350,4,FALSE)*'DGNB LCA Results'!$H$3,
IF('DGNB LCA Results'!$P$4=3,VLOOKUP(CONCATENATE('DGNB LCA Results'!$M$3,"_",E381), $A$2:$F$350,4,FALSE)*'DGNB LCA Results'!$N$3+
                                                                VLOOKUP(CONCATENATE('DGNB LCA Results'!$K$3,"_",E381), $A$2:$F$350,4,FALSE)*'DGNB LCA Results'!$L$3+
                                                                VLOOKUP(CONCATENATE('DGNB LCA Results'!$I$3,"_",E381),$A$2:$F$350,4,FALSE)*'DGNB LCA Results'!$J$3,
IF('DGNB LCA Results'!$P$4=2,VLOOKUP(CONCATENATE('DGNB LCA Results'!$M$3,"_",E381), $A$2:$F$350,4,FALSE)*'DGNB LCA Results'!$N$3+
                                                                 VLOOKUP(CONCATENATE('DGNB LCA Results'!$K$3,"_",E381),$A$2:$F$350,4,FALSE)*'DGNB LCA Results'!$L$3,
IF('DGNB LCA Results'!$P$4=1,VLOOKUP(CONCATENATE('DGNB LCA Results'!$M$3,"_",E381), $A$2:$F$350,4,FALSE)*'DGNB LCA Results'!$N$3,0))))</f>
        <v>0</v>
      </c>
      <c r="E381">
        <v>70</v>
      </c>
      <c r="F381" t="s">
        <v>194</v>
      </c>
    </row>
    <row r="382" spans="1:6" x14ac:dyDescent="0.2">
      <c r="A382" t="str">
        <f t="shared" si="5"/>
        <v>MIX15_75</v>
      </c>
      <c r="B382">
        <f>IF('DGNB LCA Results'!$P$4=4,VLOOKUP(CONCATENATE('DGNB LCA Results'!$M$3,"_",E382), $A$2:$F$350,2,FALSE)*'DGNB LCA Results'!$N$3+
                                                                  VLOOKUP(CONCATENATE('DGNB LCA Results'!$K$3,"_",E382), $A$2:$F$350,2,FALSE)*'DGNB LCA Results'!$L$3+
                                                                  VLOOKUP(CONCATENATE('DGNB LCA Results'!$I$3,"_",E382), $A$2:$F$350,2,FALSE)*'DGNB LCA Results'!$J$3+
                                                                  VLOOKUP(CONCATENATE('DGNB LCA Results'!$G$3,"_",E382), $A$2:$F$350,2,FALSE)*'DGNB LCA Results'!$H$3,
IF('DGNB LCA Results'!$P$4=3,VLOOKUP(CONCATENATE('DGNB LCA Results'!$M$3,"_",E382), $A$2:$F$350,2,FALSE)*'DGNB LCA Results'!$N$3+
                                                                VLOOKUP(CONCATENATE('DGNB LCA Results'!$K$3,"_",E382), $A$2:$F$350,2,FALSE)*'DGNB LCA Results'!$L$3+
                                                                VLOOKUP(CONCATENATE('DGNB LCA Results'!$I$3,"_",E382),$A$2:$F$350,2,FALSE)*'DGNB LCA Results'!$J$3,
IF('DGNB LCA Results'!$P$4=2,VLOOKUP(CONCATENATE('DGNB LCA Results'!$M$3,"_",E382), $A$2:$F$350,2,FALSE)*'DGNB LCA Results'!$N$3+
                                                                 VLOOKUP(CONCATENATE('DGNB LCA Results'!$K$3,"_",E382),$A$2:$F$350,2,FALSE)*'DGNB LCA Results'!$L$3,
IF('DGNB LCA Results'!$P$4=1,VLOOKUP(CONCATENATE('DGNB LCA Results'!$M$3,"_",E382), $A$2:$F$350,2,FALSE)*'DGNB LCA Results'!$N$3,0))))</f>
        <v>0</v>
      </c>
      <c r="C382">
        <f>IF('DGNB LCA Results'!$P$4=4,VLOOKUP(CONCATENATE('DGNB LCA Results'!$M$3,"_",E382), $A$2:$F$350,3,FALSE)*'DGNB LCA Results'!$N$3+
                                                                  VLOOKUP(CONCATENATE('DGNB LCA Results'!$K$3,"_",E382), $A$2:$F$350,3,FALSE)*'DGNB LCA Results'!$L$3+
                                                                  VLOOKUP(CONCATENATE('DGNB LCA Results'!$I$3,"_",E382), $A$2:$F$350,3,FALSE)*'DGNB LCA Results'!$J$3+
                                                                  VLOOKUP(CONCATENATE('DGNB LCA Results'!$G$3,"_",E382), $A$2:$F$350,3,FALSE)*'DGNB LCA Results'!$H$3,
IF('DGNB LCA Results'!$P$4=3,VLOOKUP(CONCATENATE('DGNB LCA Results'!$M$3,"_",E382), $A$2:$F$350,3,FALSE)*'DGNB LCA Results'!$N$3+
                                                                VLOOKUP(CONCATENATE('DGNB LCA Results'!$K$3,"_",E382), $A$2:$F$350,3,FALSE)*'DGNB LCA Results'!$L$3+
                                                                VLOOKUP(CONCATENATE('DGNB LCA Results'!$I$3,"_",E382),$A$2:$F$350,3,FALSE)*'DGNB LCA Results'!$J$3,
IF('DGNB LCA Results'!$P$4=2,VLOOKUP(CONCATENATE('DGNB LCA Results'!$M$3,"_",E382), $A$2:$F$350,3,FALSE)*'DGNB LCA Results'!$N$3+
                                                                 VLOOKUP(CONCATENATE('DGNB LCA Results'!$K$3,"_",E382),$A$2:$F$350,3,FALSE)*'DGNB LCA Results'!$L$3,
IF('DGNB LCA Results'!$P$4=1,VLOOKUP(CONCATENATE('DGNB LCA Results'!$M$3,"_",E382), $A$2:$F$350,3,FALSE)*'DGNB LCA Results'!$N$3,0))))</f>
        <v>0</v>
      </c>
      <c r="D382">
        <f>IF('DGNB LCA Results'!$P$4=4,VLOOKUP(CONCATENATE('DGNB LCA Results'!$M$3,"_",E382), $A$2:$F$350,4,FALSE)*'DGNB LCA Results'!$N$3+
                                                                  VLOOKUP(CONCATENATE('DGNB LCA Results'!$K$3,"_",E382), $A$2:$F$350,4,FALSE)*'DGNB LCA Results'!$L$3+
                                                                  VLOOKUP(CONCATENATE('DGNB LCA Results'!$I$3,"_",E382), $A$2:$F$350,4,FALSE)*'DGNB LCA Results'!$J$3+
                                                                  VLOOKUP(CONCATENATE('DGNB LCA Results'!$G$3,"_",E382), $A$2:$F$350,4,FALSE)*'DGNB LCA Results'!$H$3,
IF('DGNB LCA Results'!$P$4=3,VLOOKUP(CONCATENATE('DGNB LCA Results'!$M$3,"_",E382), $A$2:$F$350,4,FALSE)*'DGNB LCA Results'!$N$3+
                                                                VLOOKUP(CONCATENATE('DGNB LCA Results'!$K$3,"_",E382), $A$2:$F$350,4,FALSE)*'DGNB LCA Results'!$L$3+
                                                                VLOOKUP(CONCATENATE('DGNB LCA Results'!$I$3,"_",E382),$A$2:$F$350,4,FALSE)*'DGNB LCA Results'!$J$3,
IF('DGNB LCA Results'!$P$4=2,VLOOKUP(CONCATENATE('DGNB LCA Results'!$M$3,"_",E382), $A$2:$F$350,4,FALSE)*'DGNB LCA Results'!$N$3+
                                                                 VLOOKUP(CONCATENATE('DGNB LCA Results'!$K$3,"_",E382),$A$2:$F$350,4,FALSE)*'DGNB LCA Results'!$L$3,
IF('DGNB LCA Results'!$P$4=1,VLOOKUP(CONCATENATE('DGNB LCA Results'!$M$3,"_",E382), $A$2:$F$350,4,FALSE)*'DGNB LCA Results'!$N$3,0))))</f>
        <v>0</v>
      </c>
      <c r="E382">
        <v>75</v>
      </c>
      <c r="F382" t="s">
        <v>194</v>
      </c>
    </row>
    <row r="383" spans="1:6" x14ac:dyDescent="0.2">
      <c r="A383" t="str">
        <f t="shared" si="5"/>
        <v>MIX15_80</v>
      </c>
      <c r="B383">
        <f>IF('DGNB LCA Results'!$P$4=4,VLOOKUP(CONCATENATE('DGNB LCA Results'!$M$3,"_",E383), $A$2:$F$350,2,FALSE)*'DGNB LCA Results'!$N$3+
                                                                  VLOOKUP(CONCATENATE('DGNB LCA Results'!$K$3,"_",E383), $A$2:$F$350,2,FALSE)*'DGNB LCA Results'!$L$3+
                                                                  VLOOKUP(CONCATENATE('DGNB LCA Results'!$I$3,"_",E383), $A$2:$F$350,2,FALSE)*'DGNB LCA Results'!$J$3+
                                                                  VLOOKUP(CONCATENATE('DGNB LCA Results'!$G$3,"_",E383), $A$2:$F$350,2,FALSE)*'DGNB LCA Results'!$H$3,
IF('DGNB LCA Results'!$P$4=3,VLOOKUP(CONCATENATE('DGNB LCA Results'!$M$3,"_",E383), $A$2:$F$350,2,FALSE)*'DGNB LCA Results'!$N$3+
                                                                VLOOKUP(CONCATENATE('DGNB LCA Results'!$K$3,"_",E383), $A$2:$F$350,2,FALSE)*'DGNB LCA Results'!$L$3+
                                                                VLOOKUP(CONCATENATE('DGNB LCA Results'!$I$3,"_",E383),$A$2:$F$350,2,FALSE)*'DGNB LCA Results'!$J$3,
IF('DGNB LCA Results'!$P$4=2,VLOOKUP(CONCATENATE('DGNB LCA Results'!$M$3,"_",E383), $A$2:$F$350,2,FALSE)*'DGNB LCA Results'!$N$3+
                                                                 VLOOKUP(CONCATENATE('DGNB LCA Results'!$K$3,"_",E383),$A$2:$F$350,2,FALSE)*'DGNB LCA Results'!$L$3,
IF('DGNB LCA Results'!$P$4=1,VLOOKUP(CONCATENATE('DGNB LCA Results'!$M$3,"_",E383), $A$2:$F$350,2,FALSE)*'DGNB LCA Results'!$N$3,0))))</f>
        <v>0</v>
      </c>
      <c r="C383">
        <f>IF('DGNB LCA Results'!$P$4=4,VLOOKUP(CONCATENATE('DGNB LCA Results'!$M$3,"_",E383), $A$2:$F$350,3,FALSE)*'DGNB LCA Results'!$N$3+
                                                                  VLOOKUP(CONCATENATE('DGNB LCA Results'!$K$3,"_",E383), $A$2:$F$350,3,FALSE)*'DGNB LCA Results'!$L$3+
                                                                  VLOOKUP(CONCATENATE('DGNB LCA Results'!$I$3,"_",E383), $A$2:$F$350,3,FALSE)*'DGNB LCA Results'!$J$3+
                                                                  VLOOKUP(CONCATENATE('DGNB LCA Results'!$G$3,"_",E383), $A$2:$F$350,3,FALSE)*'DGNB LCA Results'!$H$3,
IF('DGNB LCA Results'!$P$4=3,VLOOKUP(CONCATENATE('DGNB LCA Results'!$M$3,"_",E383), $A$2:$F$350,3,FALSE)*'DGNB LCA Results'!$N$3+
                                                                VLOOKUP(CONCATENATE('DGNB LCA Results'!$K$3,"_",E383), $A$2:$F$350,3,FALSE)*'DGNB LCA Results'!$L$3+
                                                                VLOOKUP(CONCATENATE('DGNB LCA Results'!$I$3,"_",E383),$A$2:$F$350,3,FALSE)*'DGNB LCA Results'!$J$3,
IF('DGNB LCA Results'!$P$4=2,VLOOKUP(CONCATENATE('DGNB LCA Results'!$M$3,"_",E383), $A$2:$F$350,3,FALSE)*'DGNB LCA Results'!$N$3+
                                                                 VLOOKUP(CONCATENATE('DGNB LCA Results'!$K$3,"_",E383),$A$2:$F$350,3,FALSE)*'DGNB LCA Results'!$L$3,
IF('DGNB LCA Results'!$P$4=1,VLOOKUP(CONCATENATE('DGNB LCA Results'!$M$3,"_",E383), $A$2:$F$350,3,FALSE)*'DGNB LCA Results'!$N$3,0))))</f>
        <v>0</v>
      </c>
      <c r="D383">
        <f>IF('DGNB LCA Results'!$P$4=4,VLOOKUP(CONCATENATE('DGNB LCA Results'!$M$3,"_",E383), $A$2:$F$350,4,FALSE)*'DGNB LCA Results'!$N$3+
                                                                  VLOOKUP(CONCATENATE('DGNB LCA Results'!$K$3,"_",E383), $A$2:$F$350,4,FALSE)*'DGNB LCA Results'!$L$3+
                                                                  VLOOKUP(CONCATENATE('DGNB LCA Results'!$I$3,"_",E383), $A$2:$F$350,4,FALSE)*'DGNB LCA Results'!$J$3+
                                                                  VLOOKUP(CONCATENATE('DGNB LCA Results'!$G$3,"_",E383), $A$2:$F$350,4,FALSE)*'DGNB LCA Results'!$H$3,
IF('DGNB LCA Results'!$P$4=3,VLOOKUP(CONCATENATE('DGNB LCA Results'!$M$3,"_",E383), $A$2:$F$350,4,FALSE)*'DGNB LCA Results'!$N$3+
                                                                VLOOKUP(CONCATENATE('DGNB LCA Results'!$K$3,"_",E383), $A$2:$F$350,4,FALSE)*'DGNB LCA Results'!$L$3+
                                                                VLOOKUP(CONCATENATE('DGNB LCA Results'!$I$3,"_",E383),$A$2:$F$350,4,FALSE)*'DGNB LCA Results'!$J$3,
IF('DGNB LCA Results'!$P$4=2,VLOOKUP(CONCATENATE('DGNB LCA Results'!$M$3,"_",E383), $A$2:$F$350,4,FALSE)*'DGNB LCA Results'!$N$3+
                                                                 VLOOKUP(CONCATENATE('DGNB LCA Results'!$K$3,"_",E383),$A$2:$F$350,4,FALSE)*'DGNB LCA Results'!$L$3,
IF('DGNB LCA Results'!$P$4=1,VLOOKUP(CONCATENATE('DGNB LCA Results'!$M$3,"_",E383), $A$2:$F$350,4,FALSE)*'DGNB LCA Results'!$N$3,0))))</f>
        <v>0</v>
      </c>
      <c r="E383">
        <v>80</v>
      </c>
      <c r="F383" t="s">
        <v>194</v>
      </c>
    </row>
    <row r="384" spans="1:6" x14ac:dyDescent="0.2">
      <c r="A384" t="str">
        <f t="shared" si="5"/>
        <v>MIX15_90</v>
      </c>
      <c r="B384">
        <f>IF('DGNB LCA Results'!$P$4=4,VLOOKUP(CONCATENATE('DGNB LCA Results'!$M$3,"_",E384), $A$2:$F$350,2,FALSE)*'DGNB LCA Results'!$N$3+
                                                                  VLOOKUP(CONCATENATE('DGNB LCA Results'!$K$3,"_",E384), $A$2:$F$350,2,FALSE)*'DGNB LCA Results'!$L$3+
                                                                  VLOOKUP(CONCATENATE('DGNB LCA Results'!$I$3,"_",E384), $A$2:$F$350,2,FALSE)*'DGNB LCA Results'!$J$3+
                                                                  VLOOKUP(CONCATENATE('DGNB LCA Results'!$G$3,"_",E384), $A$2:$F$350,2,FALSE)*'DGNB LCA Results'!$H$3,
IF('DGNB LCA Results'!$P$4=3,VLOOKUP(CONCATENATE('DGNB LCA Results'!$M$3,"_",E384), $A$2:$F$350,2,FALSE)*'DGNB LCA Results'!$N$3+
                                                                VLOOKUP(CONCATENATE('DGNB LCA Results'!$K$3,"_",E384), $A$2:$F$350,2,FALSE)*'DGNB LCA Results'!$L$3+
                                                                VLOOKUP(CONCATENATE('DGNB LCA Results'!$I$3,"_",E384),$A$2:$F$350,2,FALSE)*'DGNB LCA Results'!$J$3,
IF('DGNB LCA Results'!$P$4=2,VLOOKUP(CONCATENATE('DGNB LCA Results'!$M$3,"_",E384), $A$2:$F$350,2,FALSE)*'DGNB LCA Results'!$N$3+
                                                                 VLOOKUP(CONCATENATE('DGNB LCA Results'!$K$3,"_",E384),$A$2:$F$350,2,FALSE)*'DGNB LCA Results'!$L$3,
IF('DGNB LCA Results'!$P$4=1,VLOOKUP(CONCATENATE('DGNB LCA Results'!$M$3,"_",E384), $A$2:$F$350,2,FALSE)*'DGNB LCA Results'!$N$3,0))))</f>
        <v>0</v>
      </c>
      <c r="C384">
        <f>IF('DGNB LCA Results'!$P$4=4,VLOOKUP(CONCATENATE('DGNB LCA Results'!$M$3,"_",E384), $A$2:$F$350,3,FALSE)*'DGNB LCA Results'!$N$3+
                                                                  VLOOKUP(CONCATENATE('DGNB LCA Results'!$K$3,"_",E384), $A$2:$F$350,3,FALSE)*'DGNB LCA Results'!$L$3+
                                                                  VLOOKUP(CONCATENATE('DGNB LCA Results'!$I$3,"_",E384), $A$2:$F$350,3,FALSE)*'DGNB LCA Results'!$J$3+
                                                                  VLOOKUP(CONCATENATE('DGNB LCA Results'!$G$3,"_",E384), $A$2:$F$350,3,FALSE)*'DGNB LCA Results'!$H$3,
IF('DGNB LCA Results'!$P$4=3,VLOOKUP(CONCATENATE('DGNB LCA Results'!$M$3,"_",E384), $A$2:$F$350,3,FALSE)*'DGNB LCA Results'!$N$3+
                                                                VLOOKUP(CONCATENATE('DGNB LCA Results'!$K$3,"_",E384), $A$2:$F$350,3,FALSE)*'DGNB LCA Results'!$L$3+
                                                                VLOOKUP(CONCATENATE('DGNB LCA Results'!$I$3,"_",E384),$A$2:$F$350,3,FALSE)*'DGNB LCA Results'!$J$3,
IF('DGNB LCA Results'!$P$4=2,VLOOKUP(CONCATENATE('DGNB LCA Results'!$M$3,"_",E384), $A$2:$F$350,3,FALSE)*'DGNB LCA Results'!$N$3+
                                                                 VLOOKUP(CONCATENATE('DGNB LCA Results'!$K$3,"_",E384),$A$2:$F$350,3,FALSE)*'DGNB LCA Results'!$L$3,
IF('DGNB LCA Results'!$P$4=1,VLOOKUP(CONCATENATE('DGNB LCA Results'!$M$3,"_",E384), $A$2:$F$350,3,FALSE)*'DGNB LCA Results'!$N$3,0))))</f>
        <v>0</v>
      </c>
      <c r="D384">
        <f>IF('DGNB LCA Results'!$P$4=4,VLOOKUP(CONCATENATE('DGNB LCA Results'!$M$3,"_",E384), $A$2:$F$350,4,FALSE)*'DGNB LCA Results'!$N$3+
                                                                  VLOOKUP(CONCATENATE('DGNB LCA Results'!$K$3,"_",E384), $A$2:$F$350,4,FALSE)*'DGNB LCA Results'!$L$3+
                                                                  VLOOKUP(CONCATENATE('DGNB LCA Results'!$I$3,"_",E384), $A$2:$F$350,4,FALSE)*'DGNB LCA Results'!$J$3+
                                                                  VLOOKUP(CONCATENATE('DGNB LCA Results'!$G$3,"_",E384), $A$2:$F$350,4,FALSE)*'DGNB LCA Results'!$H$3,
IF('DGNB LCA Results'!$P$4=3,VLOOKUP(CONCATENATE('DGNB LCA Results'!$M$3,"_",E384), $A$2:$F$350,4,FALSE)*'DGNB LCA Results'!$N$3+
                                                                VLOOKUP(CONCATENATE('DGNB LCA Results'!$K$3,"_",E384), $A$2:$F$350,4,FALSE)*'DGNB LCA Results'!$L$3+
                                                                VLOOKUP(CONCATENATE('DGNB LCA Results'!$I$3,"_",E384),$A$2:$F$350,4,FALSE)*'DGNB LCA Results'!$J$3,
IF('DGNB LCA Results'!$P$4=2,VLOOKUP(CONCATENATE('DGNB LCA Results'!$M$3,"_",E384), $A$2:$F$350,4,FALSE)*'DGNB LCA Results'!$N$3+
                                                                 VLOOKUP(CONCATENATE('DGNB LCA Results'!$K$3,"_",E384),$A$2:$F$350,4,FALSE)*'DGNB LCA Results'!$L$3,
IF('DGNB LCA Results'!$P$4=1,VLOOKUP(CONCATENATE('DGNB LCA Results'!$M$3,"_",E384), $A$2:$F$350,4,FALSE)*'DGNB LCA Results'!$N$3,0))))</f>
        <v>0</v>
      </c>
      <c r="E384">
        <v>90</v>
      </c>
      <c r="F384" t="s">
        <v>194</v>
      </c>
    </row>
    <row r="385" spans="1:6" x14ac:dyDescent="0.2">
      <c r="A385" t="str">
        <f t="shared" si="5"/>
        <v>MIX15_100</v>
      </c>
      <c r="B385">
        <f>IF('DGNB LCA Results'!$P$4=4,VLOOKUP(CONCATENATE('DGNB LCA Results'!$M$3,"_",E385), $A$2:$F$350,2,FALSE)*'DGNB LCA Results'!$N$3+
                                                                  VLOOKUP(CONCATENATE('DGNB LCA Results'!$K$3,"_",E385), $A$2:$F$350,2,FALSE)*'DGNB LCA Results'!$L$3+
                                                                  VLOOKUP(CONCATENATE('DGNB LCA Results'!$I$3,"_",E385), $A$2:$F$350,2,FALSE)*'DGNB LCA Results'!$J$3+
                                                                  VLOOKUP(CONCATENATE('DGNB LCA Results'!$G$3,"_",E385), $A$2:$F$350,2,FALSE)*'DGNB LCA Results'!$H$3,
IF('DGNB LCA Results'!$P$4=3,VLOOKUP(CONCATENATE('DGNB LCA Results'!$M$3,"_",E385), $A$2:$F$350,2,FALSE)*'DGNB LCA Results'!$N$3+
                                                                VLOOKUP(CONCATENATE('DGNB LCA Results'!$K$3,"_",E385), $A$2:$F$350,2,FALSE)*'DGNB LCA Results'!$L$3+
                                                                VLOOKUP(CONCATENATE('DGNB LCA Results'!$I$3,"_",E385),$A$2:$F$350,2,FALSE)*'DGNB LCA Results'!$J$3,
IF('DGNB LCA Results'!$P$4=2,VLOOKUP(CONCATENATE('DGNB LCA Results'!$M$3,"_",E385), $A$2:$F$350,2,FALSE)*'DGNB LCA Results'!$N$3+
                                                                 VLOOKUP(CONCATENATE('DGNB LCA Results'!$K$3,"_",E385),$A$2:$F$350,2,FALSE)*'DGNB LCA Results'!$L$3,
IF('DGNB LCA Results'!$P$4=1,VLOOKUP(CONCATENATE('DGNB LCA Results'!$M$3,"_",E385), $A$2:$F$350,2,FALSE)*'DGNB LCA Results'!$N$3,0))))</f>
        <v>0</v>
      </c>
      <c r="C385">
        <f>IF('DGNB LCA Results'!$P$4=4,VLOOKUP(CONCATENATE('DGNB LCA Results'!$M$3,"_",E385), $A$2:$F$350,3,FALSE)*'DGNB LCA Results'!$N$3+
                                                                  VLOOKUP(CONCATENATE('DGNB LCA Results'!$K$3,"_",E385), $A$2:$F$350,3,FALSE)*'DGNB LCA Results'!$L$3+
                                                                  VLOOKUP(CONCATENATE('DGNB LCA Results'!$I$3,"_",E385), $A$2:$F$350,3,FALSE)*'DGNB LCA Results'!$J$3+
                                                                  VLOOKUP(CONCATENATE('DGNB LCA Results'!$G$3,"_",E385), $A$2:$F$350,3,FALSE)*'DGNB LCA Results'!$H$3,
IF('DGNB LCA Results'!$P$4=3,VLOOKUP(CONCATENATE('DGNB LCA Results'!$M$3,"_",E385), $A$2:$F$350,3,FALSE)*'DGNB LCA Results'!$N$3+
                                                                VLOOKUP(CONCATENATE('DGNB LCA Results'!$K$3,"_",E385), $A$2:$F$350,3,FALSE)*'DGNB LCA Results'!$L$3+
                                                                VLOOKUP(CONCATENATE('DGNB LCA Results'!$I$3,"_",E385),$A$2:$F$350,3,FALSE)*'DGNB LCA Results'!$J$3,
IF('DGNB LCA Results'!$P$4=2,VLOOKUP(CONCATENATE('DGNB LCA Results'!$M$3,"_",E385), $A$2:$F$350,3,FALSE)*'DGNB LCA Results'!$N$3+
                                                                 VLOOKUP(CONCATENATE('DGNB LCA Results'!$K$3,"_",E385),$A$2:$F$350,3,FALSE)*'DGNB LCA Results'!$L$3,
IF('DGNB LCA Results'!$P$4=1,VLOOKUP(CONCATENATE('DGNB LCA Results'!$M$3,"_",E385), $A$2:$F$350,3,FALSE)*'DGNB LCA Results'!$N$3,0))))</f>
        <v>0</v>
      </c>
      <c r="D385">
        <f>IF('DGNB LCA Results'!$P$4=4,VLOOKUP(CONCATENATE('DGNB LCA Results'!$M$3,"_",E385), $A$2:$F$350,4,FALSE)*'DGNB LCA Results'!$N$3+
                                                                  VLOOKUP(CONCATENATE('DGNB LCA Results'!$K$3,"_",E385), $A$2:$F$350,4,FALSE)*'DGNB LCA Results'!$L$3+
                                                                  VLOOKUP(CONCATENATE('DGNB LCA Results'!$I$3,"_",E385), $A$2:$F$350,4,FALSE)*'DGNB LCA Results'!$J$3+
                                                                  VLOOKUP(CONCATENATE('DGNB LCA Results'!$G$3,"_",E385), $A$2:$F$350,4,FALSE)*'DGNB LCA Results'!$H$3,
IF('DGNB LCA Results'!$P$4=3,VLOOKUP(CONCATENATE('DGNB LCA Results'!$M$3,"_",E385), $A$2:$F$350,4,FALSE)*'DGNB LCA Results'!$N$3+
                                                                VLOOKUP(CONCATENATE('DGNB LCA Results'!$K$3,"_",E385), $A$2:$F$350,4,FALSE)*'DGNB LCA Results'!$L$3+
                                                                VLOOKUP(CONCATENATE('DGNB LCA Results'!$I$3,"_",E385),$A$2:$F$350,4,FALSE)*'DGNB LCA Results'!$J$3,
IF('DGNB LCA Results'!$P$4=2,VLOOKUP(CONCATENATE('DGNB LCA Results'!$M$3,"_",E385), $A$2:$F$350,4,FALSE)*'DGNB LCA Results'!$N$3+
                                                                 VLOOKUP(CONCATENATE('DGNB LCA Results'!$K$3,"_",E385),$A$2:$F$350,4,FALSE)*'DGNB LCA Results'!$L$3,
IF('DGNB LCA Results'!$P$4=1,VLOOKUP(CONCATENATE('DGNB LCA Results'!$M$3,"_",E385), $A$2:$F$350,4,FALSE)*'DGNB LCA Results'!$N$3,0))))</f>
        <v>0</v>
      </c>
      <c r="E385">
        <v>100</v>
      </c>
      <c r="F385" t="s">
        <v>194</v>
      </c>
    </row>
    <row r="386" spans="1:6" x14ac:dyDescent="0.2">
      <c r="A386" t="str">
        <f t="shared" si="5"/>
        <v>MIX15_110</v>
      </c>
      <c r="B386">
        <f>IF('DGNB LCA Results'!$P$4=4,VLOOKUP(CONCATENATE('DGNB LCA Results'!$M$3,"_",E386), $A$2:$F$350,2,FALSE)*'DGNB LCA Results'!$N$3+
                                                                  VLOOKUP(CONCATENATE('DGNB LCA Results'!$K$3,"_",E386), $A$2:$F$350,2,FALSE)*'DGNB LCA Results'!$L$3+
                                                                  VLOOKUP(CONCATENATE('DGNB LCA Results'!$I$3,"_",E386), $A$2:$F$350,2,FALSE)*'DGNB LCA Results'!$J$3+
                                                                  VLOOKUP(CONCATENATE('DGNB LCA Results'!$G$3,"_",E386), $A$2:$F$350,2,FALSE)*'DGNB LCA Results'!$H$3,
IF('DGNB LCA Results'!$P$4=3,VLOOKUP(CONCATENATE('DGNB LCA Results'!$M$3,"_",E386), $A$2:$F$350,2,FALSE)*'DGNB LCA Results'!$N$3+
                                                                VLOOKUP(CONCATENATE('DGNB LCA Results'!$K$3,"_",E386), $A$2:$F$350,2,FALSE)*'DGNB LCA Results'!$L$3+
                                                                VLOOKUP(CONCATENATE('DGNB LCA Results'!$I$3,"_",E386),$A$2:$F$350,2,FALSE)*'DGNB LCA Results'!$J$3,
IF('DGNB LCA Results'!$P$4=2,VLOOKUP(CONCATENATE('DGNB LCA Results'!$M$3,"_",E386), $A$2:$F$350,2,FALSE)*'DGNB LCA Results'!$N$3+
                                                                 VLOOKUP(CONCATENATE('DGNB LCA Results'!$K$3,"_",E386),$A$2:$F$350,2,FALSE)*'DGNB LCA Results'!$L$3,
IF('DGNB LCA Results'!$P$4=1,VLOOKUP(CONCATENATE('DGNB LCA Results'!$M$3,"_",E386), $A$2:$F$350,2,FALSE)*'DGNB LCA Results'!$N$3,0))))</f>
        <v>0</v>
      </c>
      <c r="C386">
        <f>IF('DGNB LCA Results'!$P$4=4,VLOOKUP(CONCATENATE('DGNB LCA Results'!$M$3,"_",E386), $A$2:$F$350,3,FALSE)*'DGNB LCA Results'!$N$3+
                                                                  VLOOKUP(CONCATENATE('DGNB LCA Results'!$K$3,"_",E386), $A$2:$F$350,3,FALSE)*'DGNB LCA Results'!$L$3+
                                                                  VLOOKUP(CONCATENATE('DGNB LCA Results'!$I$3,"_",E386), $A$2:$F$350,3,FALSE)*'DGNB LCA Results'!$J$3+
                                                                  VLOOKUP(CONCATENATE('DGNB LCA Results'!$G$3,"_",E386), $A$2:$F$350,3,FALSE)*'DGNB LCA Results'!$H$3,
IF('DGNB LCA Results'!$P$4=3,VLOOKUP(CONCATENATE('DGNB LCA Results'!$M$3,"_",E386), $A$2:$F$350,3,FALSE)*'DGNB LCA Results'!$N$3+
                                                                VLOOKUP(CONCATENATE('DGNB LCA Results'!$K$3,"_",E386), $A$2:$F$350,3,FALSE)*'DGNB LCA Results'!$L$3+
                                                                VLOOKUP(CONCATENATE('DGNB LCA Results'!$I$3,"_",E386),$A$2:$F$350,3,FALSE)*'DGNB LCA Results'!$J$3,
IF('DGNB LCA Results'!$P$4=2,VLOOKUP(CONCATENATE('DGNB LCA Results'!$M$3,"_",E386), $A$2:$F$350,3,FALSE)*'DGNB LCA Results'!$N$3+
                                                                 VLOOKUP(CONCATENATE('DGNB LCA Results'!$K$3,"_",E386),$A$2:$F$350,3,FALSE)*'DGNB LCA Results'!$L$3,
IF('DGNB LCA Results'!$P$4=1,VLOOKUP(CONCATENATE('DGNB LCA Results'!$M$3,"_",E386), $A$2:$F$350,3,FALSE)*'DGNB LCA Results'!$N$3,0))))</f>
        <v>0</v>
      </c>
      <c r="D386">
        <f>IF('DGNB LCA Results'!$P$4=4,VLOOKUP(CONCATENATE('DGNB LCA Results'!$M$3,"_",E386), $A$2:$F$350,4,FALSE)*'DGNB LCA Results'!$N$3+
                                                                  VLOOKUP(CONCATENATE('DGNB LCA Results'!$K$3,"_",E386), $A$2:$F$350,4,FALSE)*'DGNB LCA Results'!$L$3+
                                                                  VLOOKUP(CONCATENATE('DGNB LCA Results'!$I$3,"_",E386), $A$2:$F$350,4,FALSE)*'DGNB LCA Results'!$J$3+
                                                                  VLOOKUP(CONCATENATE('DGNB LCA Results'!$G$3,"_",E386), $A$2:$F$350,4,FALSE)*'DGNB LCA Results'!$H$3,
IF('DGNB LCA Results'!$P$4=3,VLOOKUP(CONCATENATE('DGNB LCA Results'!$M$3,"_",E386), $A$2:$F$350,4,FALSE)*'DGNB LCA Results'!$N$3+
                                                                VLOOKUP(CONCATENATE('DGNB LCA Results'!$K$3,"_",E386), $A$2:$F$350,4,FALSE)*'DGNB LCA Results'!$L$3+
                                                                VLOOKUP(CONCATENATE('DGNB LCA Results'!$I$3,"_",E386),$A$2:$F$350,4,FALSE)*'DGNB LCA Results'!$J$3,
IF('DGNB LCA Results'!$P$4=2,VLOOKUP(CONCATENATE('DGNB LCA Results'!$M$3,"_",E386), $A$2:$F$350,4,FALSE)*'DGNB LCA Results'!$N$3+
                                                                 VLOOKUP(CONCATENATE('DGNB LCA Results'!$K$3,"_",E386),$A$2:$F$350,4,FALSE)*'DGNB LCA Results'!$L$3,
IF('DGNB LCA Results'!$P$4=1,VLOOKUP(CONCATENATE('DGNB LCA Results'!$M$3,"_",E386), $A$2:$F$350,4,FALSE)*'DGNB LCA Results'!$N$3,0))))</f>
        <v>0</v>
      </c>
      <c r="E386">
        <v>110</v>
      </c>
      <c r="F386" t="s">
        <v>194</v>
      </c>
    </row>
    <row r="387" spans="1:6" x14ac:dyDescent="0.2">
      <c r="A387" t="str">
        <f t="shared" si="5"/>
        <v>MIX15_120</v>
      </c>
      <c r="B387">
        <f>IF('DGNB LCA Results'!$P$4=4,VLOOKUP(CONCATENATE('DGNB LCA Results'!$M$3,"_",E387), $A$2:$F$350,2,FALSE)*'DGNB LCA Results'!$N$3+
                                                                  VLOOKUP(CONCATENATE('DGNB LCA Results'!$K$3,"_",E387), $A$2:$F$350,2,FALSE)*'DGNB LCA Results'!$L$3+
                                                                  VLOOKUP(CONCATENATE('DGNB LCA Results'!$I$3,"_",E387), $A$2:$F$350,2,FALSE)*'DGNB LCA Results'!$J$3+
                                                                  VLOOKUP(CONCATENATE('DGNB LCA Results'!$G$3,"_",E387), $A$2:$F$350,2,FALSE)*'DGNB LCA Results'!$H$3,
IF('DGNB LCA Results'!$P$4=3,VLOOKUP(CONCATENATE('DGNB LCA Results'!$M$3,"_",E387), $A$2:$F$350,2,FALSE)*'DGNB LCA Results'!$N$3+
                                                                VLOOKUP(CONCATENATE('DGNB LCA Results'!$K$3,"_",E387), $A$2:$F$350,2,FALSE)*'DGNB LCA Results'!$L$3+
                                                                VLOOKUP(CONCATENATE('DGNB LCA Results'!$I$3,"_",E387),$A$2:$F$350,2,FALSE)*'DGNB LCA Results'!$J$3,
IF('DGNB LCA Results'!$P$4=2,VLOOKUP(CONCATENATE('DGNB LCA Results'!$M$3,"_",E387), $A$2:$F$350,2,FALSE)*'DGNB LCA Results'!$N$3+
                                                                 VLOOKUP(CONCATENATE('DGNB LCA Results'!$K$3,"_",E387),$A$2:$F$350,2,FALSE)*'DGNB LCA Results'!$L$3,
IF('DGNB LCA Results'!$P$4=1,VLOOKUP(CONCATENATE('DGNB LCA Results'!$M$3,"_",E387), $A$2:$F$350,2,FALSE)*'DGNB LCA Results'!$N$3,0))))</f>
        <v>0</v>
      </c>
      <c r="C387">
        <f>IF('DGNB LCA Results'!$P$4=4,VLOOKUP(CONCATENATE('DGNB LCA Results'!$M$3,"_",E387), $A$2:$F$350,3,FALSE)*'DGNB LCA Results'!$N$3+
                                                                  VLOOKUP(CONCATENATE('DGNB LCA Results'!$K$3,"_",E387), $A$2:$F$350,3,FALSE)*'DGNB LCA Results'!$L$3+
                                                                  VLOOKUP(CONCATENATE('DGNB LCA Results'!$I$3,"_",E387), $A$2:$F$350,3,FALSE)*'DGNB LCA Results'!$J$3+
                                                                  VLOOKUP(CONCATENATE('DGNB LCA Results'!$G$3,"_",E387), $A$2:$F$350,3,FALSE)*'DGNB LCA Results'!$H$3,
IF('DGNB LCA Results'!$P$4=3,VLOOKUP(CONCATENATE('DGNB LCA Results'!$M$3,"_",E387), $A$2:$F$350,3,FALSE)*'DGNB LCA Results'!$N$3+
                                                                VLOOKUP(CONCATENATE('DGNB LCA Results'!$K$3,"_",E387), $A$2:$F$350,3,FALSE)*'DGNB LCA Results'!$L$3+
                                                                VLOOKUP(CONCATENATE('DGNB LCA Results'!$I$3,"_",E387),$A$2:$F$350,3,FALSE)*'DGNB LCA Results'!$J$3,
IF('DGNB LCA Results'!$P$4=2,VLOOKUP(CONCATENATE('DGNB LCA Results'!$M$3,"_",E387), $A$2:$F$350,3,FALSE)*'DGNB LCA Results'!$N$3+
                                                                 VLOOKUP(CONCATENATE('DGNB LCA Results'!$K$3,"_",E387),$A$2:$F$350,3,FALSE)*'DGNB LCA Results'!$L$3,
IF('DGNB LCA Results'!$P$4=1,VLOOKUP(CONCATENATE('DGNB LCA Results'!$M$3,"_",E387), $A$2:$F$350,3,FALSE)*'DGNB LCA Results'!$N$3,0))))</f>
        <v>0</v>
      </c>
      <c r="D387">
        <f>IF('DGNB LCA Results'!$P$4=4,VLOOKUP(CONCATENATE('DGNB LCA Results'!$M$3,"_",E387), $A$2:$F$350,4,FALSE)*'DGNB LCA Results'!$N$3+
                                                                  VLOOKUP(CONCATENATE('DGNB LCA Results'!$K$3,"_",E387), $A$2:$F$350,4,FALSE)*'DGNB LCA Results'!$L$3+
                                                                  VLOOKUP(CONCATENATE('DGNB LCA Results'!$I$3,"_",E387), $A$2:$F$350,4,FALSE)*'DGNB LCA Results'!$J$3+
                                                                  VLOOKUP(CONCATENATE('DGNB LCA Results'!$G$3,"_",E387), $A$2:$F$350,4,FALSE)*'DGNB LCA Results'!$H$3,
IF('DGNB LCA Results'!$P$4=3,VLOOKUP(CONCATENATE('DGNB LCA Results'!$M$3,"_",E387), $A$2:$F$350,4,FALSE)*'DGNB LCA Results'!$N$3+
                                                                VLOOKUP(CONCATENATE('DGNB LCA Results'!$K$3,"_",E387), $A$2:$F$350,4,FALSE)*'DGNB LCA Results'!$L$3+
                                                                VLOOKUP(CONCATENATE('DGNB LCA Results'!$I$3,"_",E387),$A$2:$F$350,4,FALSE)*'DGNB LCA Results'!$J$3,
IF('DGNB LCA Results'!$P$4=2,VLOOKUP(CONCATENATE('DGNB LCA Results'!$M$3,"_",E387), $A$2:$F$350,4,FALSE)*'DGNB LCA Results'!$N$3+
                                                                 VLOOKUP(CONCATENATE('DGNB LCA Results'!$K$3,"_",E387),$A$2:$F$350,4,FALSE)*'DGNB LCA Results'!$L$3,
IF('DGNB LCA Results'!$P$4=1,VLOOKUP(CONCATENATE('DGNB LCA Results'!$M$3,"_",E387), $A$2:$F$350,4,FALSE)*'DGNB LCA Results'!$N$3,0))))</f>
        <v>0</v>
      </c>
      <c r="E387">
        <v>120</v>
      </c>
      <c r="F387" t="s">
        <v>194</v>
      </c>
    </row>
    <row r="388" spans="1:6" x14ac:dyDescent="0.2">
      <c r="A388" t="str">
        <f t="shared" si="5"/>
        <v/>
      </c>
    </row>
    <row r="389" spans="1:6" x14ac:dyDescent="0.2">
      <c r="A389" t="str">
        <f t="shared" si="5"/>
        <v>MIX18_0</v>
      </c>
      <c r="B389">
        <v>1.4</v>
      </c>
      <c r="C389">
        <v>1</v>
      </c>
      <c r="D389">
        <v>1</v>
      </c>
      <c r="E389">
        <v>0</v>
      </c>
      <c r="F389" t="s">
        <v>192</v>
      </c>
    </row>
    <row r="390" spans="1:6" x14ac:dyDescent="0.2">
      <c r="A390" t="str">
        <f t="shared" si="5"/>
        <v>MIX18_40</v>
      </c>
      <c r="B390">
        <v>1</v>
      </c>
      <c r="C390">
        <v>1</v>
      </c>
      <c r="D390">
        <v>1</v>
      </c>
      <c r="E390">
        <v>40</v>
      </c>
      <c r="F390" t="s">
        <v>192</v>
      </c>
    </row>
    <row r="391" spans="1:6" x14ac:dyDescent="0.2">
      <c r="A391" t="str">
        <f t="shared" si="5"/>
        <v>MIX18_80</v>
      </c>
      <c r="B391">
        <v>0.7</v>
      </c>
      <c r="C391">
        <v>1</v>
      </c>
      <c r="D391">
        <v>1</v>
      </c>
      <c r="E391">
        <v>80</v>
      </c>
      <c r="F391" t="s">
        <v>192</v>
      </c>
    </row>
    <row r="392" spans="1:6" x14ac:dyDescent="0.2">
      <c r="A392" t="str">
        <f t="shared" si="5"/>
        <v>MIX18_100</v>
      </c>
      <c r="B392">
        <v>0.55000000000000004</v>
      </c>
      <c r="C392">
        <v>1</v>
      </c>
      <c r="D392">
        <v>1</v>
      </c>
      <c r="E392">
        <v>100</v>
      </c>
      <c r="F392" t="s">
        <v>192</v>
      </c>
    </row>
    <row r="393" spans="1:6" x14ac:dyDescent="0.2">
      <c r="A393" t="str">
        <f t="shared" si="5"/>
        <v/>
      </c>
    </row>
    <row r="394" spans="1:6" x14ac:dyDescent="0.2">
      <c r="A394" t="str">
        <f t="shared" si="5"/>
        <v>MIX18_NVS_0</v>
      </c>
      <c r="B394">
        <f>IF('DGNB LCA Results'!$P$4=4,VLOOKUP(CONCATENATE('DGNB LCA Results'!$M$3,"_",E394),$A$2:$E$360,2,FALSE)*'DGNB LCA Results'!$N$3+
                                                                  VLOOKUP(CONCATENATE('DGNB LCA Results'!$K$3,"_",E394),$A$2:$E$360,2,FALSE)*'DGNB LCA Results'!$L$3+
                                                                  VLOOKUP(CONCATENATE('DGNB LCA Results'!$I$3,"_",E394),$A$2:$E$360,2,FALSE)*'DGNB LCA Results'!$J$3+
                                                                  VLOOKUP(CONCATENATE('DGNB LCA Results'!$G$3,"_",E394), $A$2:$E$360,2,FALSE)*'DGNB LCA Results'!$H$3,
IF('DGNB LCA Results'!$P$4=3,VLOOKUP(CONCATENATE('DGNB LCA Results'!$M$3,"_",E394),$A$2:$E$360,2,FALSE)*'DGNB LCA Results'!$N$3+
                                                                VLOOKUP(CONCATENATE('DGNB LCA Results'!$K$3,"_",E394),$A$2:$E$360,2,FALSE)*'DGNB LCA Results'!$L$3+
                                                                VLOOKUP(CONCATENATE('DGNB LCA Results'!$I$3,"_",E394),$A$2:$E$360,2,FALSE)*'DGNB LCA Results'!$J$3,
IF('DGNB LCA Results'!$P$4=2,VLOOKUP(CONCATENATE('DGNB LCA Results'!$M$3,"_",E394),$A$2:$E$360,2,FALSE)*'DGNB LCA Results'!$N$3+
                                                                 VLOOKUP(CONCATENATE('DGNB LCA Results'!$K$3,"_",E394),$A$2:$E$360,2,FALSE)*'DGNB LCA Results'!$L$3,
IF('DGNB LCA Results'!$P$4=1,VLOOKUP(CONCATENATE('DGNB LCA Results'!$M$3,"_",E394),$A$2:$E$360,2,FALSE)*'DGNB LCA Results'!$N$3,0))))</f>
        <v>0</v>
      </c>
      <c r="C394">
        <v>1</v>
      </c>
      <c r="D394">
        <v>1</v>
      </c>
      <c r="E394" s="49">
        <v>0</v>
      </c>
      <c r="F394" t="s">
        <v>207</v>
      </c>
    </row>
    <row r="395" spans="1:6" x14ac:dyDescent="0.2">
      <c r="A395" t="str">
        <f t="shared" si="5"/>
        <v>MIX18_NVS_30</v>
      </c>
      <c r="B395">
        <f>IF('DGNB LCA Results'!$P$4=4,VLOOKUP(CONCATENATE('DGNB LCA Results'!$M$3,"_",E395),$A$2:$E$360,2,FALSE)*'DGNB LCA Results'!$N$3+
                                                                  VLOOKUP(CONCATENATE('DGNB LCA Results'!$K$3,"_",E395),$A$2:$E$360,2,FALSE)*'DGNB LCA Results'!$L$3+
                                                                  VLOOKUP(CONCATENATE('DGNB LCA Results'!$I$3,"_",E395),$A$2:$E$360,2,FALSE)*'DGNB LCA Results'!$J$3+
                                                                  VLOOKUP(CONCATENATE('DGNB LCA Results'!$G$3,"_",E395), $A$2:$E$360,2,FALSE)*'DGNB LCA Results'!$H$3,
IF('DGNB LCA Results'!$P$4=3,VLOOKUP(CONCATENATE('DGNB LCA Results'!$M$3,"_",E395),$A$2:$E$360,2,FALSE)*'DGNB LCA Results'!$N$3+
                                                                VLOOKUP(CONCATENATE('DGNB LCA Results'!$K$3,"_",E395),$A$2:$E$360,2,FALSE)*'DGNB LCA Results'!$L$3+
                                                                VLOOKUP(CONCATENATE('DGNB LCA Results'!$I$3,"_",E395),$A$2:$E$360,2,FALSE)*'DGNB LCA Results'!$J$3,
IF('DGNB LCA Results'!$P$4=2,VLOOKUP(CONCATENATE('DGNB LCA Results'!$M$3,"_",E395),$A$2:$E$360,2,FALSE)*'DGNB LCA Results'!$N$3+
                                                                 VLOOKUP(CONCATENATE('DGNB LCA Results'!$K$3,"_",E395),$A$2:$E$360,2,FALSE)*'DGNB LCA Results'!$L$3,
IF('DGNB LCA Results'!$P$4=1,VLOOKUP(CONCATENATE('DGNB LCA Results'!$M$3,"_",E395),$A$2:$E$360,2,FALSE)*'DGNB LCA Results'!$N$3,0))))</f>
        <v>0</v>
      </c>
      <c r="C395">
        <v>1</v>
      </c>
      <c r="D395">
        <v>1</v>
      </c>
      <c r="E395" s="49">
        <v>30</v>
      </c>
      <c r="F395" t="s">
        <v>207</v>
      </c>
    </row>
    <row r="396" spans="1:6" x14ac:dyDescent="0.2">
      <c r="A396" t="str">
        <f t="shared" si="5"/>
        <v>MIX18_NVS_60</v>
      </c>
      <c r="B396">
        <f>IF('DGNB LCA Results'!$P$4=4,VLOOKUP(CONCATENATE('DGNB LCA Results'!$M$3,"_",E396),$A$2:$E$360,2,FALSE)*'DGNB LCA Results'!$N$3+
                                                                  VLOOKUP(CONCATENATE('DGNB LCA Results'!$K$3,"_",E396),$A$2:$E$360,2,FALSE)*'DGNB LCA Results'!$L$3+
                                                                  VLOOKUP(CONCATENATE('DGNB LCA Results'!$I$3,"_",E396),$A$2:$E$360,2,FALSE)*'DGNB LCA Results'!$J$3+
                                                                  VLOOKUP(CONCATENATE('DGNB LCA Results'!$G$3,"_",E396), $A$2:$E$360,2,FALSE)*'DGNB LCA Results'!$H$3,
IF('DGNB LCA Results'!$P$4=3,VLOOKUP(CONCATENATE('DGNB LCA Results'!$M$3,"_",E396),$A$2:$E$360,2,FALSE)*'DGNB LCA Results'!$N$3+
                                                                VLOOKUP(CONCATENATE('DGNB LCA Results'!$K$3,"_",E396),$A$2:$E$360,2,FALSE)*'DGNB LCA Results'!$L$3+
                                                                VLOOKUP(CONCATENATE('DGNB LCA Results'!$I$3,"_",E396),$A$2:$E$360,2,FALSE)*'DGNB LCA Results'!$J$3,
IF('DGNB LCA Results'!$P$4=2,VLOOKUP(CONCATENATE('DGNB LCA Results'!$M$3,"_",E396),$A$2:$E$360,2,FALSE)*'DGNB LCA Results'!$N$3+
                                                                 VLOOKUP(CONCATENATE('DGNB LCA Results'!$K$3,"_",E396),$A$2:$E$360,2,FALSE)*'DGNB LCA Results'!$L$3,
IF('DGNB LCA Results'!$P$4=1,VLOOKUP(CONCATENATE('DGNB LCA Results'!$M$3,"_",E396),$A$2:$E$360,2,FALSE)*'DGNB LCA Results'!$N$3,0))))</f>
        <v>0</v>
      </c>
      <c r="C396">
        <v>1</v>
      </c>
      <c r="D396">
        <v>1</v>
      </c>
      <c r="E396" s="49">
        <v>60</v>
      </c>
      <c r="F396" t="s">
        <v>207</v>
      </c>
    </row>
    <row r="397" spans="1:6" x14ac:dyDescent="0.2">
      <c r="A397" t="str">
        <f t="shared" si="5"/>
        <v>MIX18_NVS_80</v>
      </c>
      <c r="B397">
        <f>IF('DGNB LCA Results'!$P$4=4,VLOOKUP(CONCATENATE('DGNB LCA Results'!$M$3,"_",E397),$A$2:$E$360,2,FALSE)*'DGNB LCA Results'!$N$3+
                                                                  VLOOKUP(CONCATENATE('DGNB LCA Results'!$K$3,"_",E397),$A$2:$E$360,2,FALSE)*'DGNB LCA Results'!$L$3+
                                                                  VLOOKUP(CONCATENATE('DGNB LCA Results'!$I$3,"_",E397),$A$2:$E$360,2,FALSE)*'DGNB LCA Results'!$J$3+
                                                                  VLOOKUP(CONCATENATE('DGNB LCA Results'!$G$3,"_",E397), $A$2:$E$360,2,FALSE)*'DGNB LCA Results'!$H$3,
IF('DGNB LCA Results'!$P$4=3,VLOOKUP(CONCATENATE('DGNB LCA Results'!$M$3,"_",E397),$A$2:$E$360,2,FALSE)*'DGNB LCA Results'!$N$3+
                                                                VLOOKUP(CONCATENATE('DGNB LCA Results'!$K$3,"_",E397),$A$2:$E$360,2,FALSE)*'DGNB LCA Results'!$L$3+
                                                                VLOOKUP(CONCATENATE('DGNB LCA Results'!$I$3,"_",E397),$A$2:$E$360,2,FALSE)*'DGNB LCA Results'!$J$3,
IF('DGNB LCA Results'!$P$4=2,VLOOKUP(CONCATENATE('DGNB LCA Results'!$M$3,"_",E397),$A$2:$E$360,2,FALSE)*'DGNB LCA Results'!$N$3+
                                                                 VLOOKUP(CONCATENATE('DGNB LCA Results'!$K$3,"_",E397),$A$2:$E$360,2,FALSE)*'DGNB LCA Results'!$L$3,
IF('DGNB LCA Results'!$P$4=1,VLOOKUP(CONCATENATE('DGNB LCA Results'!$M$3,"_",E397),$A$2:$E$360,2,FALSE)*'DGNB LCA Results'!$N$3,0))))</f>
        <v>0</v>
      </c>
      <c r="C397">
        <v>1</v>
      </c>
      <c r="D397">
        <v>1</v>
      </c>
      <c r="E397" s="49">
        <v>80</v>
      </c>
      <c r="F397" t="s">
        <v>207</v>
      </c>
    </row>
    <row r="398" spans="1:6" x14ac:dyDescent="0.2">
      <c r="A398" t="str">
        <f t="shared" si="5"/>
        <v/>
      </c>
      <c r="D398" s="47"/>
    </row>
    <row r="399" spans="1:6" x14ac:dyDescent="0.2">
      <c r="E399" s="49"/>
      <c r="F399" s="49"/>
    </row>
    <row r="400" spans="1:6" x14ac:dyDescent="0.2">
      <c r="E400" s="49"/>
      <c r="F400" s="49"/>
    </row>
    <row r="401" spans="1:6" x14ac:dyDescent="0.2">
      <c r="E401" s="49"/>
      <c r="F401" s="49"/>
    </row>
    <row r="402" spans="1:6" x14ac:dyDescent="0.2">
      <c r="E402" s="49"/>
      <c r="F402" s="49"/>
    </row>
    <row r="406" spans="1:6" x14ac:dyDescent="0.2">
      <c r="A406" t="str">
        <f t="shared" si="5"/>
        <v/>
      </c>
    </row>
    <row r="407" spans="1:6" x14ac:dyDescent="0.2">
      <c r="A407" t="str">
        <f t="shared" si="5"/>
        <v/>
      </c>
    </row>
    <row r="408" spans="1:6" x14ac:dyDescent="0.2">
      <c r="A408" t="str">
        <f t="shared" si="5"/>
        <v/>
      </c>
    </row>
    <row r="409" spans="1:6" x14ac:dyDescent="0.2">
      <c r="A409" t="str">
        <f t="shared" si="5"/>
        <v/>
      </c>
    </row>
    <row r="410" spans="1:6" x14ac:dyDescent="0.2">
      <c r="A410" t="str">
        <f t="shared" si="5"/>
        <v/>
      </c>
    </row>
    <row r="411" spans="1:6" x14ac:dyDescent="0.2">
      <c r="A411" t="str">
        <f t="shared" si="5"/>
        <v/>
      </c>
    </row>
    <row r="412" spans="1:6" x14ac:dyDescent="0.2">
      <c r="A412" t="str">
        <f t="shared" si="5"/>
        <v/>
      </c>
    </row>
    <row r="413" spans="1:6" x14ac:dyDescent="0.2">
      <c r="A413" t="str">
        <f t="shared" ref="A413:A476" si="7">IF(F413="","",CONCATENATE(F413,"_",E413))</f>
        <v/>
      </c>
    </row>
    <row r="414" spans="1:6" x14ac:dyDescent="0.2">
      <c r="A414" t="str">
        <f t="shared" si="7"/>
        <v/>
      </c>
    </row>
    <row r="415" spans="1:6" x14ac:dyDescent="0.2">
      <c r="A415" t="str">
        <f t="shared" si="7"/>
        <v/>
      </c>
    </row>
    <row r="416" spans="1:6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  <row r="424" spans="1:1" x14ac:dyDescent="0.2">
      <c r="A424" t="str">
        <f t="shared" si="7"/>
        <v/>
      </c>
    </row>
    <row r="425" spans="1:1" x14ac:dyDescent="0.2">
      <c r="A425" t="str">
        <f t="shared" si="7"/>
        <v/>
      </c>
    </row>
    <row r="426" spans="1:1" x14ac:dyDescent="0.2">
      <c r="A426" t="str">
        <f t="shared" si="7"/>
        <v/>
      </c>
    </row>
    <row r="427" spans="1:1" x14ac:dyDescent="0.2">
      <c r="A427" t="str">
        <f t="shared" si="7"/>
        <v/>
      </c>
    </row>
    <row r="428" spans="1:1" x14ac:dyDescent="0.2">
      <c r="A428" t="str">
        <f t="shared" si="7"/>
        <v/>
      </c>
    </row>
    <row r="429" spans="1:1" x14ac:dyDescent="0.2">
      <c r="A429" t="str">
        <f t="shared" si="7"/>
        <v/>
      </c>
    </row>
    <row r="430" spans="1:1" x14ac:dyDescent="0.2">
      <c r="A430" t="str">
        <f t="shared" si="7"/>
        <v/>
      </c>
    </row>
    <row r="431" spans="1:1" x14ac:dyDescent="0.2">
      <c r="A431" t="str">
        <f t="shared" si="7"/>
        <v/>
      </c>
    </row>
    <row r="432" spans="1:1" x14ac:dyDescent="0.2">
      <c r="A432" t="str">
        <f t="shared" si="7"/>
        <v/>
      </c>
    </row>
    <row r="433" spans="1:1" x14ac:dyDescent="0.2">
      <c r="A433" t="str">
        <f t="shared" si="7"/>
        <v/>
      </c>
    </row>
    <row r="434" spans="1:1" x14ac:dyDescent="0.2">
      <c r="A434" t="str">
        <f t="shared" si="7"/>
        <v/>
      </c>
    </row>
    <row r="435" spans="1:1" x14ac:dyDescent="0.2">
      <c r="A435" t="str">
        <f t="shared" si="7"/>
        <v/>
      </c>
    </row>
    <row r="436" spans="1:1" x14ac:dyDescent="0.2">
      <c r="A436" t="str">
        <f t="shared" si="7"/>
        <v/>
      </c>
    </row>
    <row r="437" spans="1:1" x14ac:dyDescent="0.2">
      <c r="A437" t="str">
        <f t="shared" si="7"/>
        <v/>
      </c>
    </row>
    <row r="438" spans="1:1" x14ac:dyDescent="0.2">
      <c r="A438" t="str">
        <f t="shared" si="7"/>
        <v/>
      </c>
    </row>
    <row r="439" spans="1:1" x14ac:dyDescent="0.2">
      <c r="A439" t="str">
        <f t="shared" si="7"/>
        <v/>
      </c>
    </row>
    <row r="440" spans="1:1" x14ac:dyDescent="0.2">
      <c r="A440" t="str">
        <f t="shared" si="7"/>
        <v/>
      </c>
    </row>
    <row r="441" spans="1:1" x14ac:dyDescent="0.2">
      <c r="A441" t="str">
        <f t="shared" si="7"/>
        <v/>
      </c>
    </row>
    <row r="442" spans="1:1" x14ac:dyDescent="0.2">
      <c r="A442" t="str">
        <f t="shared" si="7"/>
        <v/>
      </c>
    </row>
    <row r="443" spans="1:1" x14ac:dyDescent="0.2">
      <c r="A443" t="str">
        <f t="shared" si="7"/>
        <v/>
      </c>
    </row>
    <row r="444" spans="1:1" x14ac:dyDescent="0.2">
      <c r="A444" t="str">
        <f t="shared" si="7"/>
        <v/>
      </c>
    </row>
    <row r="445" spans="1:1" x14ac:dyDescent="0.2">
      <c r="A445" t="str">
        <f t="shared" si="7"/>
        <v/>
      </c>
    </row>
    <row r="446" spans="1:1" x14ac:dyDescent="0.2">
      <c r="A446" t="str">
        <f t="shared" si="7"/>
        <v/>
      </c>
    </row>
    <row r="447" spans="1:1" x14ac:dyDescent="0.2">
      <c r="A447" t="str">
        <f t="shared" si="7"/>
        <v/>
      </c>
    </row>
    <row r="448" spans="1:1" x14ac:dyDescent="0.2">
      <c r="A448" t="str">
        <f t="shared" si="7"/>
        <v/>
      </c>
    </row>
    <row r="449" spans="1:1" x14ac:dyDescent="0.2">
      <c r="A449" t="str">
        <f t="shared" si="7"/>
        <v/>
      </c>
    </row>
    <row r="450" spans="1:1" x14ac:dyDescent="0.2">
      <c r="A450" t="str">
        <f t="shared" si="7"/>
        <v/>
      </c>
    </row>
    <row r="451" spans="1:1" x14ac:dyDescent="0.2">
      <c r="A451" t="str">
        <f t="shared" si="7"/>
        <v/>
      </c>
    </row>
    <row r="452" spans="1:1" x14ac:dyDescent="0.2">
      <c r="A452" t="str">
        <f t="shared" si="7"/>
        <v/>
      </c>
    </row>
    <row r="453" spans="1:1" x14ac:dyDescent="0.2">
      <c r="A453" t="str">
        <f t="shared" si="7"/>
        <v/>
      </c>
    </row>
    <row r="454" spans="1:1" x14ac:dyDescent="0.2">
      <c r="A454" t="str">
        <f t="shared" si="7"/>
        <v/>
      </c>
    </row>
    <row r="455" spans="1:1" x14ac:dyDescent="0.2">
      <c r="A455" t="str">
        <f t="shared" si="7"/>
        <v/>
      </c>
    </row>
    <row r="456" spans="1:1" x14ac:dyDescent="0.2">
      <c r="A456" t="str">
        <f t="shared" si="7"/>
        <v/>
      </c>
    </row>
    <row r="457" spans="1:1" x14ac:dyDescent="0.2">
      <c r="A457" t="str">
        <f t="shared" si="7"/>
        <v/>
      </c>
    </row>
    <row r="458" spans="1:1" x14ac:dyDescent="0.2">
      <c r="A458" t="str">
        <f t="shared" si="7"/>
        <v/>
      </c>
    </row>
    <row r="459" spans="1:1" x14ac:dyDescent="0.2">
      <c r="A459" t="str">
        <f t="shared" si="7"/>
        <v/>
      </c>
    </row>
    <row r="460" spans="1:1" x14ac:dyDescent="0.2">
      <c r="A460" t="str">
        <f t="shared" si="7"/>
        <v/>
      </c>
    </row>
    <row r="461" spans="1:1" x14ac:dyDescent="0.2">
      <c r="A461" t="str">
        <f t="shared" si="7"/>
        <v/>
      </c>
    </row>
    <row r="462" spans="1:1" x14ac:dyDescent="0.2">
      <c r="A462" t="str">
        <f t="shared" si="7"/>
        <v/>
      </c>
    </row>
    <row r="463" spans="1:1" x14ac:dyDescent="0.2">
      <c r="A463" t="str">
        <f t="shared" si="7"/>
        <v/>
      </c>
    </row>
    <row r="464" spans="1:1" x14ac:dyDescent="0.2">
      <c r="A464" t="str">
        <f t="shared" si="7"/>
        <v/>
      </c>
    </row>
    <row r="465" spans="1:1" x14ac:dyDescent="0.2">
      <c r="A465" t="str">
        <f t="shared" si="7"/>
        <v/>
      </c>
    </row>
    <row r="466" spans="1:1" x14ac:dyDescent="0.2">
      <c r="A466" t="str">
        <f t="shared" si="7"/>
        <v/>
      </c>
    </row>
    <row r="467" spans="1:1" x14ac:dyDescent="0.2">
      <c r="A467" t="str">
        <f t="shared" si="7"/>
        <v/>
      </c>
    </row>
    <row r="468" spans="1:1" x14ac:dyDescent="0.2">
      <c r="A468" t="str">
        <f t="shared" si="7"/>
        <v/>
      </c>
    </row>
    <row r="469" spans="1:1" x14ac:dyDescent="0.2">
      <c r="A469" t="str">
        <f t="shared" si="7"/>
        <v/>
      </c>
    </row>
    <row r="470" spans="1:1" x14ac:dyDescent="0.2">
      <c r="A470" t="str">
        <f t="shared" si="7"/>
        <v/>
      </c>
    </row>
    <row r="471" spans="1:1" x14ac:dyDescent="0.2">
      <c r="A471" t="str">
        <f t="shared" si="7"/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ref="A477:A526" si="8">IF(F477="","",CONCATENATE(F477,"_",E477))</f>
        <v/>
      </c>
    </row>
    <row r="478" spans="1:1" x14ac:dyDescent="0.2">
      <c r="A478" t="str">
        <f t="shared" si="8"/>
        <v/>
      </c>
    </row>
    <row r="479" spans="1:1" x14ac:dyDescent="0.2">
      <c r="A479" t="str">
        <f t="shared" si="8"/>
        <v/>
      </c>
    </row>
    <row r="480" spans="1:1" x14ac:dyDescent="0.2">
      <c r="A480" t="str">
        <f t="shared" si="8"/>
        <v/>
      </c>
    </row>
    <row r="481" spans="1:1" x14ac:dyDescent="0.2">
      <c r="A481" t="str">
        <f t="shared" si="8"/>
        <v/>
      </c>
    </row>
    <row r="482" spans="1:1" x14ac:dyDescent="0.2">
      <c r="A482" t="str">
        <f t="shared" si="8"/>
        <v/>
      </c>
    </row>
    <row r="483" spans="1:1" x14ac:dyDescent="0.2">
      <c r="A483" t="str">
        <f t="shared" si="8"/>
        <v/>
      </c>
    </row>
    <row r="484" spans="1:1" x14ac:dyDescent="0.2">
      <c r="A484" t="str">
        <f t="shared" si="8"/>
        <v/>
      </c>
    </row>
    <row r="485" spans="1:1" x14ac:dyDescent="0.2">
      <c r="A485" t="str">
        <f t="shared" si="8"/>
        <v/>
      </c>
    </row>
    <row r="486" spans="1:1" x14ac:dyDescent="0.2">
      <c r="A486" t="str">
        <f t="shared" si="8"/>
        <v/>
      </c>
    </row>
    <row r="487" spans="1:1" x14ac:dyDescent="0.2">
      <c r="A487" t="str">
        <f t="shared" si="8"/>
        <v/>
      </c>
    </row>
    <row r="488" spans="1:1" x14ac:dyDescent="0.2">
      <c r="A488" t="str">
        <f t="shared" si="8"/>
        <v/>
      </c>
    </row>
    <row r="489" spans="1:1" x14ac:dyDescent="0.2">
      <c r="A489" t="str">
        <f t="shared" si="8"/>
        <v/>
      </c>
    </row>
    <row r="490" spans="1:1" x14ac:dyDescent="0.2">
      <c r="A490" t="str">
        <f t="shared" si="8"/>
        <v/>
      </c>
    </row>
    <row r="491" spans="1:1" x14ac:dyDescent="0.2">
      <c r="A491" t="str">
        <f t="shared" si="8"/>
        <v/>
      </c>
    </row>
    <row r="492" spans="1:1" x14ac:dyDescent="0.2">
      <c r="A492" t="str">
        <f t="shared" si="8"/>
        <v/>
      </c>
    </row>
    <row r="493" spans="1:1" x14ac:dyDescent="0.2">
      <c r="A493" t="str">
        <f t="shared" si="8"/>
        <v/>
      </c>
    </row>
    <row r="494" spans="1:1" x14ac:dyDescent="0.2">
      <c r="A494" t="str">
        <f t="shared" si="8"/>
        <v/>
      </c>
    </row>
    <row r="495" spans="1:1" x14ac:dyDescent="0.2">
      <c r="A495" t="str">
        <f t="shared" si="8"/>
        <v/>
      </c>
    </row>
    <row r="496" spans="1:1" x14ac:dyDescent="0.2">
      <c r="A496" t="str">
        <f t="shared" si="8"/>
        <v/>
      </c>
    </row>
    <row r="497" spans="1:1" x14ac:dyDescent="0.2">
      <c r="A497" t="str">
        <f t="shared" si="8"/>
        <v/>
      </c>
    </row>
    <row r="498" spans="1:1" x14ac:dyDescent="0.2">
      <c r="A498" t="str">
        <f t="shared" si="8"/>
        <v/>
      </c>
    </row>
    <row r="499" spans="1:1" x14ac:dyDescent="0.2">
      <c r="A499" t="str">
        <f t="shared" si="8"/>
        <v/>
      </c>
    </row>
    <row r="500" spans="1:1" x14ac:dyDescent="0.2">
      <c r="A500" t="str">
        <f t="shared" si="8"/>
        <v/>
      </c>
    </row>
    <row r="501" spans="1:1" x14ac:dyDescent="0.2">
      <c r="A501" t="str">
        <f t="shared" si="8"/>
        <v/>
      </c>
    </row>
    <row r="502" spans="1:1" x14ac:dyDescent="0.2">
      <c r="A502" t="str">
        <f t="shared" si="8"/>
        <v/>
      </c>
    </row>
    <row r="503" spans="1:1" x14ac:dyDescent="0.2">
      <c r="A503" t="str">
        <f t="shared" si="8"/>
        <v/>
      </c>
    </row>
    <row r="504" spans="1:1" x14ac:dyDescent="0.2">
      <c r="A504" t="str">
        <f t="shared" si="8"/>
        <v/>
      </c>
    </row>
    <row r="505" spans="1:1" x14ac:dyDescent="0.2">
      <c r="A505" t="str">
        <f t="shared" si="8"/>
        <v/>
      </c>
    </row>
    <row r="506" spans="1:1" x14ac:dyDescent="0.2">
      <c r="A506" t="str">
        <f t="shared" si="8"/>
        <v/>
      </c>
    </row>
    <row r="507" spans="1:1" x14ac:dyDescent="0.2">
      <c r="A507" t="str">
        <f t="shared" si="8"/>
        <v/>
      </c>
    </row>
    <row r="508" spans="1:1" x14ac:dyDescent="0.2">
      <c r="A508" t="str">
        <f t="shared" si="8"/>
        <v/>
      </c>
    </row>
    <row r="509" spans="1:1" x14ac:dyDescent="0.2">
      <c r="A509" t="str">
        <f t="shared" si="8"/>
        <v/>
      </c>
    </row>
    <row r="510" spans="1:1" x14ac:dyDescent="0.2">
      <c r="A510" t="str">
        <f t="shared" si="8"/>
        <v/>
      </c>
    </row>
    <row r="511" spans="1:1" x14ac:dyDescent="0.2">
      <c r="A511" t="str">
        <f t="shared" si="8"/>
        <v/>
      </c>
    </row>
    <row r="512" spans="1:1" x14ac:dyDescent="0.2">
      <c r="A512" t="str">
        <f t="shared" si="8"/>
        <v/>
      </c>
    </row>
    <row r="513" spans="1:1" x14ac:dyDescent="0.2">
      <c r="A513" t="str">
        <f t="shared" si="8"/>
        <v/>
      </c>
    </row>
    <row r="514" spans="1:1" x14ac:dyDescent="0.2">
      <c r="A514" t="str">
        <f t="shared" si="8"/>
        <v/>
      </c>
    </row>
    <row r="515" spans="1:1" x14ac:dyDescent="0.2">
      <c r="A515" t="str">
        <f t="shared" si="8"/>
        <v/>
      </c>
    </row>
    <row r="516" spans="1:1" x14ac:dyDescent="0.2">
      <c r="A516" t="str">
        <f t="shared" si="8"/>
        <v/>
      </c>
    </row>
    <row r="517" spans="1:1" x14ac:dyDescent="0.2">
      <c r="A517" t="str">
        <f t="shared" si="8"/>
        <v/>
      </c>
    </row>
    <row r="518" spans="1:1" x14ac:dyDescent="0.2">
      <c r="A518" t="str">
        <f t="shared" si="8"/>
        <v/>
      </c>
    </row>
    <row r="519" spans="1:1" x14ac:dyDescent="0.2">
      <c r="A519" t="str">
        <f t="shared" si="8"/>
        <v/>
      </c>
    </row>
    <row r="520" spans="1:1" x14ac:dyDescent="0.2">
      <c r="A520" t="str">
        <f t="shared" si="8"/>
        <v/>
      </c>
    </row>
    <row r="521" spans="1:1" x14ac:dyDescent="0.2">
      <c r="A521" t="str">
        <f t="shared" si="8"/>
        <v/>
      </c>
    </row>
    <row r="522" spans="1:1" x14ac:dyDescent="0.2">
      <c r="A522" t="str">
        <f t="shared" si="8"/>
        <v/>
      </c>
    </row>
    <row r="523" spans="1:1" x14ac:dyDescent="0.2">
      <c r="A523" t="str">
        <f t="shared" si="8"/>
        <v/>
      </c>
    </row>
    <row r="524" spans="1:1" x14ac:dyDescent="0.2">
      <c r="A524" t="str">
        <f t="shared" si="8"/>
        <v/>
      </c>
    </row>
    <row r="525" spans="1:1" x14ac:dyDescent="0.2">
      <c r="A525" t="str">
        <f t="shared" si="8"/>
        <v/>
      </c>
    </row>
    <row r="526" spans="1:1" x14ac:dyDescent="0.2">
      <c r="A526" t="str">
        <f t="shared" si="8"/>
        <v/>
      </c>
    </row>
  </sheetData>
  <autoFilter ref="A1:F526" xr:uid="{00000000-0009-0000-0000-000005000000}"/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H1029"/>
  <sheetViews>
    <sheetView topLeftCell="A583" workbookViewId="0">
      <selection activeCell="B611" sqref="B611"/>
    </sheetView>
  </sheetViews>
  <sheetFormatPr baseColWidth="10" defaultColWidth="11.5" defaultRowHeight="15" x14ac:dyDescent="0.2"/>
  <cols>
    <col min="1" max="1" width="21" customWidth="1"/>
    <col min="2" max="2" width="22.5" customWidth="1"/>
    <col min="3" max="3" width="19.5" customWidth="1"/>
    <col min="4" max="4" width="14.33203125" customWidth="1"/>
  </cols>
  <sheetData>
    <row r="1" spans="1:6" x14ac:dyDescent="0.2">
      <c r="A1" t="s">
        <v>112</v>
      </c>
      <c r="B1" s="119" t="s">
        <v>131</v>
      </c>
      <c r="C1" s="119" t="s">
        <v>132</v>
      </c>
      <c r="D1" s="119" t="s">
        <v>133</v>
      </c>
      <c r="E1" s="119" t="s">
        <v>55</v>
      </c>
      <c r="F1" s="119" t="s">
        <v>106</v>
      </c>
    </row>
    <row r="2" spans="1:6" x14ac:dyDescent="0.2">
      <c r="A2" t="str">
        <f>IF(F2="","",CONCATENATE(F2,"_",E2))</f>
        <v>NBV15_5</v>
      </c>
      <c r="B2" s="122">
        <v>1.4</v>
      </c>
      <c r="C2">
        <v>1</v>
      </c>
      <c r="D2">
        <v>1</v>
      </c>
      <c r="E2">
        <v>5</v>
      </c>
      <c r="F2" t="s">
        <v>0</v>
      </c>
    </row>
    <row r="3" spans="1:6" x14ac:dyDescent="0.2">
      <c r="A3" t="str">
        <f t="shared" ref="A3:A66" si="0">IF(F3="","",CONCATENATE(F3,"_",E3))</f>
        <v>NBV15_10</v>
      </c>
      <c r="B3">
        <v>1.3</v>
      </c>
      <c r="C3">
        <v>1</v>
      </c>
      <c r="D3">
        <v>1</v>
      </c>
      <c r="E3">
        <v>10</v>
      </c>
      <c r="F3" t="s">
        <v>0</v>
      </c>
    </row>
    <row r="4" spans="1:6" x14ac:dyDescent="0.2">
      <c r="A4" t="str">
        <f t="shared" si="0"/>
        <v>NBV15_15</v>
      </c>
      <c r="B4">
        <v>1.2</v>
      </c>
      <c r="C4">
        <v>1</v>
      </c>
      <c r="D4">
        <v>1</v>
      </c>
      <c r="E4">
        <v>15</v>
      </c>
      <c r="F4" t="s">
        <v>0</v>
      </c>
    </row>
    <row r="5" spans="1:6" x14ac:dyDescent="0.2">
      <c r="A5" t="str">
        <f t="shared" si="0"/>
        <v>NBV15_20</v>
      </c>
      <c r="B5">
        <v>1.1000000000000001</v>
      </c>
      <c r="C5">
        <v>1</v>
      </c>
      <c r="D5">
        <v>1</v>
      </c>
      <c r="E5">
        <v>20</v>
      </c>
      <c r="F5" t="s">
        <v>0</v>
      </c>
    </row>
    <row r="6" spans="1:6" x14ac:dyDescent="0.2">
      <c r="A6" t="str">
        <f t="shared" si="0"/>
        <v>NBV15_25</v>
      </c>
      <c r="B6">
        <v>1</v>
      </c>
      <c r="C6">
        <v>1</v>
      </c>
      <c r="D6">
        <v>1</v>
      </c>
      <c r="E6">
        <v>25</v>
      </c>
      <c r="F6" t="s">
        <v>0</v>
      </c>
    </row>
    <row r="7" spans="1:6" x14ac:dyDescent="0.2">
      <c r="A7" t="str">
        <f t="shared" si="0"/>
        <v>NBV15_30</v>
      </c>
      <c r="B7">
        <v>0.94</v>
      </c>
      <c r="C7">
        <v>1</v>
      </c>
      <c r="D7">
        <v>1</v>
      </c>
      <c r="E7">
        <v>30</v>
      </c>
      <c r="F7" t="s">
        <v>0</v>
      </c>
    </row>
    <row r="8" spans="1:6" x14ac:dyDescent="0.2">
      <c r="A8" t="str">
        <f t="shared" si="0"/>
        <v>NBV15_35</v>
      </c>
      <c r="B8">
        <v>0.88</v>
      </c>
      <c r="C8">
        <v>1</v>
      </c>
      <c r="D8">
        <v>1</v>
      </c>
      <c r="E8">
        <v>35</v>
      </c>
      <c r="F8" t="s">
        <v>0</v>
      </c>
    </row>
    <row r="9" spans="1:6" x14ac:dyDescent="0.2">
      <c r="A9" t="str">
        <f t="shared" si="0"/>
        <v>NBV15_40</v>
      </c>
      <c r="B9">
        <v>0.82</v>
      </c>
      <c r="C9">
        <v>1</v>
      </c>
      <c r="D9">
        <v>1</v>
      </c>
      <c r="E9">
        <v>40</v>
      </c>
      <c r="F9" t="s">
        <v>0</v>
      </c>
    </row>
    <row r="10" spans="1:6" x14ac:dyDescent="0.2">
      <c r="A10" t="str">
        <f t="shared" si="0"/>
        <v>NBV15_45</v>
      </c>
      <c r="B10">
        <v>0.76</v>
      </c>
      <c r="C10">
        <v>1</v>
      </c>
      <c r="D10">
        <v>1</v>
      </c>
      <c r="E10">
        <v>45</v>
      </c>
      <c r="F10" t="s">
        <v>0</v>
      </c>
    </row>
    <row r="11" spans="1:6" x14ac:dyDescent="0.2">
      <c r="A11" t="str">
        <f t="shared" si="0"/>
        <v>NBV15_50</v>
      </c>
      <c r="B11">
        <v>0.7</v>
      </c>
      <c r="C11">
        <v>1</v>
      </c>
      <c r="D11">
        <v>1</v>
      </c>
      <c r="E11">
        <v>50</v>
      </c>
      <c r="F11" t="s">
        <v>0</v>
      </c>
    </row>
    <row r="12" spans="1:6" x14ac:dyDescent="0.2">
      <c r="A12" t="str">
        <f t="shared" si="0"/>
        <v>NBV15_55</v>
      </c>
      <c r="B12">
        <v>0.67</v>
      </c>
      <c r="C12">
        <v>1</v>
      </c>
      <c r="D12">
        <v>1</v>
      </c>
      <c r="E12">
        <v>55</v>
      </c>
      <c r="F12" t="s">
        <v>0</v>
      </c>
    </row>
    <row r="13" spans="1:6" x14ac:dyDescent="0.2">
      <c r="A13" t="str">
        <f t="shared" si="0"/>
        <v>NBV15_60</v>
      </c>
      <c r="B13">
        <v>0.64</v>
      </c>
      <c r="C13">
        <v>1</v>
      </c>
      <c r="D13">
        <v>1</v>
      </c>
      <c r="E13">
        <v>60</v>
      </c>
      <c r="F13" t="s">
        <v>0</v>
      </c>
    </row>
    <row r="14" spans="1:6" x14ac:dyDescent="0.2">
      <c r="A14" t="str">
        <f t="shared" si="0"/>
        <v>NBV15_65</v>
      </c>
      <c r="B14">
        <v>0.61</v>
      </c>
      <c r="C14">
        <v>1</v>
      </c>
      <c r="D14">
        <v>1</v>
      </c>
      <c r="E14">
        <v>65</v>
      </c>
      <c r="F14" t="s">
        <v>0</v>
      </c>
    </row>
    <row r="15" spans="1:6" x14ac:dyDescent="0.2">
      <c r="A15" t="str">
        <f t="shared" si="0"/>
        <v>NBV15_70</v>
      </c>
      <c r="B15">
        <v>0.57999999999999996</v>
      </c>
      <c r="C15">
        <v>1</v>
      </c>
      <c r="D15">
        <v>1</v>
      </c>
      <c r="E15">
        <v>70</v>
      </c>
      <c r="F15" t="s">
        <v>0</v>
      </c>
    </row>
    <row r="16" spans="1:6" x14ac:dyDescent="0.2">
      <c r="A16" t="str">
        <f t="shared" si="0"/>
        <v>NBV15_75</v>
      </c>
      <c r="B16">
        <v>0.55000000000000004</v>
      </c>
      <c r="C16">
        <v>1</v>
      </c>
      <c r="D16">
        <v>1</v>
      </c>
      <c r="E16">
        <v>75</v>
      </c>
      <c r="F16" t="s">
        <v>0</v>
      </c>
    </row>
    <row r="17" spans="1:6" x14ac:dyDescent="0.2">
      <c r="A17" t="str">
        <f t="shared" si="0"/>
        <v>NBV15_80</v>
      </c>
      <c r="B17">
        <v>0.52</v>
      </c>
      <c r="C17">
        <v>1</v>
      </c>
      <c r="D17">
        <v>1</v>
      </c>
      <c r="E17">
        <v>80</v>
      </c>
      <c r="F17" t="s">
        <v>0</v>
      </c>
    </row>
    <row r="18" spans="1:6" x14ac:dyDescent="0.2">
      <c r="A18" t="str">
        <f t="shared" si="0"/>
        <v>NBV15_85</v>
      </c>
      <c r="B18">
        <v>0.49</v>
      </c>
      <c r="C18">
        <v>1</v>
      </c>
      <c r="D18">
        <v>1</v>
      </c>
      <c r="E18">
        <v>85</v>
      </c>
      <c r="F18" t="s">
        <v>0</v>
      </c>
    </row>
    <row r="19" spans="1:6" x14ac:dyDescent="0.2">
      <c r="A19" t="str">
        <f t="shared" si="0"/>
        <v>NBV15_90</v>
      </c>
      <c r="B19">
        <v>0.46</v>
      </c>
      <c r="C19">
        <v>1</v>
      </c>
      <c r="D19">
        <v>1</v>
      </c>
      <c r="E19">
        <v>90</v>
      </c>
      <c r="F19" t="s">
        <v>0</v>
      </c>
    </row>
    <row r="20" spans="1:6" x14ac:dyDescent="0.2">
      <c r="A20" t="str">
        <f t="shared" si="0"/>
        <v>NBV15_95</v>
      </c>
      <c r="B20">
        <v>0.43</v>
      </c>
      <c r="C20">
        <v>1</v>
      </c>
      <c r="D20">
        <v>1</v>
      </c>
      <c r="E20">
        <v>95</v>
      </c>
      <c r="F20" t="s">
        <v>0</v>
      </c>
    </row>
    <row r="21" spans="1:6" x14ac:dyDescent="0.2">
      <c r="A21" t="str">
        <f t="shared" si="0"/>
        <v>NBV15_100</v>
      </c>
      <c r="B21">
        <v>0.4</v>
      </c>
      <c r="C21">
        <v>1</v>
      </c>
      <c r="D21">
        <v>1</v>
      </c>
      <c r="E21">
        <v>100</v>
      </c>
      <c r="F21" t="s">
        <v>0</v>
      </c>
    </row>
    <row r="22" spans="1:6" x14ac:dyDescent="0.2">
      <c r="A22" t="str">
        <f t="shared" si="0"/>
        <v>NBV15_110</v>
      </c>
      <c r="B22">
        <v>0.4</v>
      </c>
      <c r="C22">
        <v>1</v>
      </c>
      <c r="D22">
        <v>0.75</v>
      </c>
      <c r="E22">
        <v>110</v>
      </c>
      <c r="F22" t="s">
        <v>0</v>
      </c>
    </row>
    <row r="23" spans="1:6" x14ac:dyDescent="0.2">
      <c r="A23" t="str">
        <f t="shared" si="0"/>
        <v>NBV15_120</v>
      </c>
      <c r="B23">
        <v>0.4</v>
      </c>
      <c r="C23">
        <v>1</v>
      </c>
      <c r="D23">
        <v>0.5</v>
      </c>
      <c r="E23">
        <v>120</v>
      </c>
      <c r="F23" t="s">
        <v>0</v>
      </c>
    </row>
    <row r="24" spans="1:6" x14ac:dyDescent="0.2">
      <c r="A24" t="str">
        <f t="shared" si="0"/>
        <v/>
      </c>
    </row>
    <row r="25" spans="1:6" x14ac:dyDescent="0.2">
      <c r="A25" t="str">
        <f t="shared" si="0"/>
        <v>NBV12_U_5</v>
      </c>
      <c r="B25" s="122">
        <v>1.4</v>
      </c>
      <c r="C25">
        <v>1</v>
      </c>
      <c r="D25">
        <v>1</v>
      </c>
      <c r="E25">
        <v>5</v>
      </c>
      <c r="F25" t="s">
        <v>74</v>
      </c>
    </row>
    <row r="26" spans="1:6" x14ac:dyDescent="0.2">
      <c r="A26" t="str">
        <f t="shared" si="0"/>
        <v>NBV12_U_10</v>
      </c>
      <c r="B26">
        <v>1.3</v>
      </c>
      <c r="C26">
        <v>1</v>
      </c>
      <c r="D26">
        <v>1</v>
      </c>
      <c r="E26">
        <v>10</v>
      </c>
      <c r="F26" t="s">
        <v>74</v>
      </c>
    </row>
    <row r="27" spans="1:6" x14ac:dyDescent="0.2">
      <c r="A27" t="str">
        <f t="shared" si="0"/>
        <v>NBV12_U_15</v>
      </c>
      <c r="B27">
        <v>1.2</v>
      </c>
      <c r="C27">
        <v>1</v>
      </c>
      <c r="D27">
        <v>1</v>
      </c>
      <c r="E27">
        <v>15</v>
      </c>
      <c r="F27" t="s">
        <v>74</v>
      </c>
    </row>
    <row r="28" spans="1:6" x14ac:dyDescent="0.2">
      <c r="A28" t="str">
        <f t="shared" si="0"/>
        <v>NBV12_U_20</v>
      </c>
      <c r="B28">
        <v>1.1000000000000001</v>
      </c>
      <c r="C28">
        <v>1</v>
      </c>
      <c r="D28">
        <v>1</v>
      </c>
      <c r="E28">
        <v>20</v>
      </c>
      <c r="F28" t="s">
        <v>74</v>
      </c>
    </row>
    <row r="29" spans="1:6" x14ac:dyDescent="0.2">
      <c r="A29" t="str">
        <f t="shared" si="0"/>
        <v>NBV12_U_25</v>
      </c>
      <c r="B29">
        <v>1</v>
      </c>
      <c r="C29">
        <v>1</v>
      </c>
      <c r="D29">
        <v>1</v>
      </c>
      <c r="E29">
        <v>25</v>
      </c>
      <c r="F29" t="s">
        <v>74</v>
      </c>
    </row>
    <row r="30" spans="1:6" x14ac:dyDescent="0.2">
      <c r="A30" t="str">
        <f t="shared" si="0"/>
        <v>NBV12_U_30</v>
      </c>
      <c r="B30">
        <v>0.94</v>
      </c>
      <c r="C30">
        <v>1</v>
      </c>
      <c r="D30">
        <v>1</v>
      </c>
      <c r="E30">
        <v>30</v>
      </c>
      <c r="F30" t="s">
        <v>74</v>
      </c>
    </row>
    <row r="31" spans="1:6" x14ac:dyDescent="0.2">
      <c r="A31" t="str">
        <f t="shared" si="0"/>
        <v>NBV12_U_35</v>
      </c>
      <c r="B31">
        <v>0.88</v>
      </c>
      <c r="C31">
        <v>1</v>
      </c>
      <c r="D31">
        <v>1</v>
      </c>
      <c r="E31">
        <v>35</v>
      </c>
      <c r="F31" t="s">
        <v>74</v>
      </c>
    </row>
    <row r="32" spans="1:6" x14ac:dyDescent="0.2">
      <c r="A32" t="str">
        <f t="shared" si="0"/>
        <v>NBV12_U_40</v>
      </c>
      <c r="B32">
        <v>0.82</v>
      </c>
      <c r="C32">
        <v>1</v>
      </c>
      <c r="D32">
        <v>1</v>
      </c>
      <c r="E32">
        <v>40</v>
      </c>
      <c r="F32" t="s">
        <v>74</v>
      </c>
    </row>
    <row r="33" spans="1:8" x14ac:dyDescent="0.2">
      <c r="A33" t="str">
        <f t="shared" si="0"/>
        <v>NBV12_U_45</v>
      </c>
      <c r="B33">
        <v>0.76</v>
      </c>
      <c r="C33">
        <v>1</v>
      </c>
      <c r="D33">
        <v>1</v>
      </c>
      <c r="E33">
        <v>45</v>
      </c>
      <c r="F33" t="s">
        <v>74</v>
      </c>
    </row>
    <row r="34" spans="1:8" x14ac:dyDescent="0.2">
      <c r="A34" t="str">
        <f t="shared" si="0"/>
        <v>NBV12_U_50</v>
      </c>
      <c r="B34">
        <v>0.7</v>
      </c>
      <c r="C34">
        <v>1</v>
      </c>
      <c r="D34">
        <v>1</v>
      </c>
      <c r="E34">
        <v>50</v>
      </c>
      <c r="F34" t="s">
        <v>74</v>
      </c>
    </row>
    <row r="35" spans="1:8" x14ac:dyDescent="0.2">
      <c r="A35" t="str">
        <f t="shared" si="0"/>
        <v>NBV12_U_55</v>
      </c>
      <c r="B35">
        <v>0.67</v>
      </c>
      <c r="C35">
        <v>1</v>
      </c>
      <c r="D35">
        <v>1</v>
      </c>
      <c r="E35">
        <v>55</v>
      </c>
      <c r="F35" t="s">
        <v>74</v>
      </c>
    </row>
    <row r="36" spans="1:8" x14ac:dyDescent="0.2">
      <c r="A36" t="str">
        <f t="shared" si="0"/>
        <v>NBV12_U_60</v>
      </c>
      <c r="B36">
        <v>0.64</v>
      </c>
      <c r="C36">
        <v>1</v>
      </c>
      <c r="D36">
        <v>1</v>
      </c>
      <c r="E36">
        <v>60</v>
      </c>
      <c r="F36" t="s">
        <v>74</v>
      </c>
    </row>
    <row r="37" spans="1:8" x14ac:dyDescent="0.2">
      <c r="A37" t="str">
        <f t="shared" si="0"/>
        <v>NBV12_U_65</v>
      </c>
      <c r="B37">
        <v>0.61</v>
      </c>
      <c r="C37">
        <v>1</v>
      </c>
      <c r="D37">
        <v>1</v>
      </c>
      <c r="E37">
        <v>65</v>
      </c>
      <c r="F37" t="s">
        <v>74</v>
      </c>
    </row>
    <row r="38" spans="1:8" x14ac:dyDescent="0.2">
      <c r="A38" t="str">
        <f t="shared" si="0"/>
        <v>NBV12_U_70</v>
      </c>
      <c r="B38">
        <v>0.57999999999999996</v>
      </c>
      <c r="C38">
        <v>1</v>
      </c>
      <c r="D38">
        <v>1</v>
      </c>
      <c r="E38">
        <v>70</v>
      </c>
      <c r="F38" t="s">
        <v>74</v>
      </c>
    </row>
    <row r="39" spans="1:8" x14ac:dyDescent="0.2">
      <c r="A39" t="str">
        <f t="shared" si="0"/>
        <v>NBV12_U_75</v>
      </c>
      <c r="B39">
        <v>0.55000000000000004</v>
      </c>
      <c r="C39">
        <v>1</v>
      </c>
      <c r="D39">
        <v>1</v>
      </c>
      <c r="E39">
        <v>75</v>
      </c>
      <c r="F39" t="s">
        <v>74</v>
      </c>
    </row>
    <row r="40" spans="1:8" x14ac:dyDescent="0.2">
      <c r="A40" t="str">
        <f t="shared" si="0"/>
        <v>NBV12_U_80</v>
      </c>
      <c r="B40">
        <v>0.52</v>
      </c>
      <c r="C40">
        <v>1</v>
      </c>
      <c r="D40">
        <v>1</v>
      </c>
      <c r="E40">
        <v>80</v>
      </c>
      <c r="F40" t="s">
        <v>74</v>
      </c>
    </row>
    <row r="41" spans="1:8" x14ac:dyDescent="0.2">
      <c r="A41" t="str">
        <f t="shared" si="0"/>
        <v>NBV12_U_85</v>
      </c>
      <c r="B41">
        <v>0.49</v>
      </c>
      <c r="C41">
        <v>1</v>
      </c>
      <c r="D41">
        <v>1</v>
      </c>
      <c r="E41">
        <v>85</v>
      </c>
      <c r="F41" t="s">
        <v>74</v>
      </c>
    </row>
    <row r="42" spans="1:8" x14ac:dyDescent="0.2">
      <c r="A42" t="str">
        <f t="shared" si="0"/>
        <v>NBV12_U_90</v>
      </c>
      <c r="B42">
        <v>0.46</v>
      </c>
      <c r="C42">
        <v>1</v>
      </c>
      <c r="D42">
        <v>1</v>
      </c>
      <c r="E42">
        <v>90</v>
      </c>
      <c r="F42" t="s">
        <v>74</v>
      </c>
    </row>
    <row r="43" spans="1:8" x14ac:dyDescent="0.2">
      <c r="A43" t="str">
        <f t="shared" si="0"/>
        <v>NBV12_U_95</v>
      </c>
      <c r="B43">
        <v>0.43</v>
      </c>
      <c r="C43">
        <v>1</v>
      </c>
      <c r="D43">
        <v>1</v>
      </c>
      <c r="E43">
        <v>95</v>
      </c>
      <c r="F43" t="s">
        <v>74</v>
      </c>
    </row>
    <row r="44" spans="1:8" x14ac:dyDescent="0.2">
      <c r="A44" t="str">
        <f t="shared" si="0"/>
        <v>NBV12_U_100</v>
      </c>
      <c r="B44">
        <v>0.4</v>
      </c>
      <c r="C44">
        <v>1</v>
      </c>
      <c r="D44">
        <v>1</v>
      </c>
      <c r="E44">
        <v>100</v>
      </c>
      <c r="F44" t="s">
        <v>74</v>
      </c>
    </row>
    <row r="45" spans="1:8" x14ac:dyDescent="0.2">
      <c r="A45" t="str">
        <f t="shared" si="0"/>
        <v/>
      </c>
    </row>
    <row r="46" spans="1:8" x14ac:dyDescent="0.2">
      <c r="A46" t="str">
        <f t="shared" si="0"/>
        <v>NBI15_5</v>
      </c>
      <c r="B46" s="122">
        <v>1.4</v>
      </c>
      <c r="C46">
        <v>1</v>
      </c>
      <c r="D46">
        <v>1</v>
      </c>
      <c r="E46">
        <v>5</v>
      </c>
      <c r="F46" t="s">
        <v>76</v>
      </c>
      <c r="H46" s="122"/>
    </row>
    <row r="47" spans="1:8" x14ac:dyDescent="0.2">
      <c r="A47" t="str">
        <f t="shared" si="0"/>
        <v>NBI15_10</v>
      </c>
      <c r="B47">
        <v>1.3</v>
      </c>
      <c r="C47">
        <v>1</v>
      </c>
      <c r="D47">
        <v>1</v>
      </c>
      <c r="E47">
        <v>10</v>
      </c>
      <c r="F47" t="s">
        <v>76</v>
      </c>
    </row>
    <row r="48" spans="1:8" x14ac:dyDescent="0.2">
      <c r="A48" t="str">
        <f t="shared" si="0"/>
        <v>NBI15_15</v>
      </c>
      <c r="B48">
        <v>1.2</v>
      </c>
      <c r="C48">
        <v>1</v>
      </c>
      <c r="D48">
        <v>1</v>
      </c>
      <c r="E48">
        <v>15</v>
      </c>
      <c r="F48" t="s">
        <v>76</v>
      </c>
    </row>
    <row r="49" spans="1:6" x14ac:dyDescent="0.2">
      <c r="A49" t="str">
        <f t="shared" si="0"/>
        <v>NBI15_20</v>
      </c>
      <c r="B49">
        <v>1.1000000000000001</v>
      </c>
      <c r="C49">
        <v>1</v>
      </c>
      <c r="D49">
        <v>1</v>
      </c>
      <c r="E49">
        <v>20</v>
      </c>
      <c r="F49" t="s">
        <v>76</v>
      </c>
    </row>
    <row r="50" spans="1:6" x14ac:dyDescent="0.2">
      <c r="A50" t="str">
        <f t="shared" si="0"/>
        <v>NBI15_25</v>
      </c>
      <c r="B50">
        <v>1</v>
      </c>
      <c r="C50">
        <v>1</v>
      </c>
      <c r="D50">
        <v>1</v>
      </c>
      <c r="E50">
        <v>25</v>
      </c>
      <c r="F50" t="s">
        <v>76</v>
      </c>
    </row>
    <row r="51" spans="1:6" x14ac:dyDescent="0.2">
      <c r="A51" t="str">
        <f t="shared" si="0"/>
        <v>NBI15_30</v>
      </c>
      <c r="B51">
        <v>0.94</v>
      </c>
      <c r="C51">
        <v>1</v>
      </c>
      <c r="D51">
        <v>1</v>
      </c>
      <c r="E51">
        <v>30</v>
      </c>
      <c r="F51" t="s">
        <v>76</v>
      </c>
    </row>
    <row r="52" spans="1:6" x14ac:dyDescent="0.2">
      <c r="A52" t="str">
        <f t="shared" si="0"/>
        <v>NBI15_35</v>
      </c>
      <c r="B52">
        <v>0.88</v>
      </c>
      <c r="C52">
        <v>1</v>
      </c>
      <c r="D52">
        <v>1</v>
      </c>
      <c r="E52">
        <v>35</v>
      </c>
      <c r="F52" t="s">
        <v>76</v>
      </c>
    </row>
    <row r="53" spans="1:6" x14ac:dyDescent="0.2">
      <c r="A53" t="str">
        <f t="shared" si="0"/>
        <v>NBI15_40</v>
      </c>
      <c r="B53">
        <v>0.82</v>
      </c>
      <c r="C53">
        <v>1</v>
      </c>
      <c r="D53">
        <v>1</v>
      </c>
      <c r="E53">
        <v>40</v>
      </c>
      <c r="F53" t="s">
        <v>76</v>
      </c>
    </row>
    <row r="54" spans="1:6" x14ac:dyDescent="0.2">
      <c r="A54" t="str">
        <f t="shared" si="0"/>
        <v>NBI15_45</v>
      </c>
      <c r="B54">
        <v>0.76</v>
      </c>
      <c r="C54">
        <v>1</v>
      </c>
      <c r="D54">
        <v>1</v>
      </c>
      <c r="E54">
        <v>45</v>
      </c>
      <c r="F54" t="s">
        <v>76</v>
      </c>
    </row>
    <row r="55" spans="1:6" x14ac:dyDescent="0.2">
      <c r="A55" t="str">
        <f t="shared" si="0"/>
        <v>NBI15_50</v>
      </c>
      <c r="B55">
        <v>0.7</v>
      </c>
      <c r="C55">
        <v>1</v>
      </c>
      <c r="D55">
        <v>1</v>
      </c>
      <c r="E55">
        <v>50</v>
      </c>
      <c r="F55" t="s">
        <v>76</v>
      </c>
    </row>
    <row r="56" spans="1:6" x14ac:dyDescent="0.2">
      <c r="A56" t="str">
        <f t="shared" si="0"/>
        <v>NBI15_55</v>
      </c>
      <c r="B56">
        <v>0.68</v>
      </c>
      <c r="C56">
        <v>1</v>
      </c>
      <c r="D56">
        <v>1</v>
      </c>
      <c r="E56">
        <v>55</v>
      </c>
      <c r="F56" t="s">
        <v>76</v>
      </c>
    </row>
    <row r="57" spans="1:6" x14ac:dyDescent="0.2">
      <c r="A57" t="str">
        <f t="shared" si="0"/>
        <v>NBI15_60</v>
      </c>
      <c r="B57">
        <v>0.66</v>
      </c>
      <c r="C57">
        <v>1</v>
      </c>
      <c r="D57">
        <v>1</v>
      </c>
      <c r="E57">
        <v>60</v>
      </c>
      <c r="F57" t="s">
        <v>76</v>
      </c>
    </row>
    <row r="58" spans="1:6" x14ac:dyDescent="0.2">
      <c r="A58" t="str">
        <f t="shared" si="0"/>
        <v>NBI15_65</v>
      </c>
      <c r="B58">
        <v>0.64</v>
      </c>
      <c r="C58">
        <v>1</v>
      </c>
      <c r="D58">
        <v>1</v>
      </c>
      <c r="E58">
        <v>65</v>
      </c>
      <c r="F58" t="s">
        <v>76</v>
      </c>
    </row>
    <row r="59" spans="1:6" x14ac:dyDescent="0.2">
      <c r="A59" t="str">
        <f t="shared" si="0"/>
        <v>NBI15_70</v>
      </c>
      <c r="B59">
        <v>0.62</v>
      </c>
      <c r="C59">
        <v>1</v>
      </c>
      <c r="D59">
        <v>1</v>
      </c>
      <c r="E59">
        <v>70</v>
      </c>
      <c r="F59" t="s">
        <v>76</v>
      </c>
    </row>
    <row r="60" spans="1:6" x14ac:dyDescent="0.2">
      <c r="A60" t="str">
        <f t="shared" si="0"/>
        <v>NBI15_75</v>
      </c>
      <c r="B60">
        <v>0.6</v>
      </c>
      <c r="C60">
        <v>1</v>
      </c>
      <c r="D60">
        <v>1</v>
      </c>
      <c r="E60">
        <v>75</v>
      </c>
      <c r="F60" t="s">
        <v>76</v>
      </c>
    </row>
    <row r="61" spans="1:6" x14ac:dyDescent="0.2">
      <c r="A61" t="str">
        <f t="shared" si="0"/>
        <v>NBI15_80</v>
      </c>
      <c r="B61">
        <v>0.57999999999999996</v>
      </c>
      <c r="C61">
        <v>1</v>
      </c>
      <c r="D61">
        <v>1</v>
      </c>
      <c r="E61">
        <v>80</v>
      </c>
      <c r="F61" t="s">
        <v>76</v>
      </c>
    </row>
    <row r="62" spans="1:6" x14ac:dyDescent="0.2">
      <c r="A62" t="str">
        <f t="shared" si="0"/>
        <v>NBI15_85</v>
      </c>
      <c r="B62">
        <v>0.56000000000000005</v>
      </c>
      <c r="C62">
        <v>1</v>
      </c>
      <c r="D62">
        <v>1</v>
      </c>
      <c r="E62">
        <v>85</v>
      </c>
      <c r="F62" t="s">
        <v>76</v>
      </c>
    </row>
    <row r="63" spans="1:6" x14ac:dyDescent="0.2">
      <c r="A63" t="str">
        <f t="shared" si="0"/>
        <v>NBI15_90</v>
      </c>
      <c r="B63">
        <v>0.54</v>
      </c>
      <c r="C63">
        <v>1</v>
      </c>
      <c r="D63">
        <v>1</v>
      </c>
      <c r="E63">
        <v>90</v>
      </c>
      <c r="F63" t="s">
        <v>76</v>
      </c>
    </row>
    <row r="64" spans="1:6" x14ac:dyDescent="0.2">
      <c r="A64" t="str">
        <f t="shared" si="0"/>
        <v>NBI15_95</v>
      </c>
      <c r="B64">
        <v>0.52</v>
      </c>
      <c r="C64">
        <v>1</v>
      </c>
      <c r="D64">
        <v>1</v>
      </c>
      <c r="E64">
        <v>95</v>
      </c>
      <c r="F64" t="s">
        <v>76</v>
      </c>
    </row>
    <row r="65" spans="1:6" x14ac:dyDescent="0.2">
      <c r="A65" t="str">
        <f t="shared" si="0"/>
        <v>NBI15_100</v>
      </c>
      <c r="B65">
        <v>0.5</v>
      </c>
      <c r="C65">
        <v>1</v>
      </c>
      <c r="D65">
        <v>1</v>
      </c>
      <c r="E65">
        <v>100</v>
      </c>
      <c r="F65" t="s">
        <v>76</v>
      </c>
    </row>
    <row r="66" spans="1:6" x14ac:dyDescent="0.2">
      <c r="A66" t="str">
        <f t="shared" si="0"/>
        <v>NBI15_110</v>
      </c>
      <c r="B66">
        <v>0.5</v>
      </c>
      <c r="C66">
        <v>1</v>
      </c>
      <c r="D66">
        <v>0.75</v>
      </c>
      <c r="E66">
        <v>110</v>
      </c>
      <c r="F66" t="s">
        <v>76</v>
      </c>
    </row>
    <row r="67" spans="1:6" x14ac:dyDescent="0.2">
      <c r="A67" t="str">
        <f t="shared" ref="A67:A130" si="1">IF(F67="","",CONCATENATE(F67,"_",E67))</f>
        <v>NBI15_120</v>
      </c>
      <c r="B67">
        <v>0.5</v>
      </c>
      <c r="C67">
        <v>1</v>
      </c>
      <c r="D67">
        <v>0.5</v>
      </c>
      <c r="E67">
        <v>120</v>
      </c>
      <c r="F67" t="s">
        <v>76</v>
      </c>
    </row>
    <row r="68" spans="1:6" x14ac:dyDescent="0.2">
      <c r="A68" t="str">
        <f t="shared" si="1"/>
        <v/>
      </c>
    </row>
    <row r="69" spans="1:6" x14ac:dyDescent="0.2">
      <c r="A69" t="str">
        <f t="shared" si="1"/>
        <v>NBI12_U_5</v>
      </c>
      <c r="B69" s="122">
        <v>1.4</v>
      </c>
      <c r="C69">
        <v>1</v>
      </c>
      <c r="D69">
        <v>1</v>
      </c>
      <c r="E69">
        <v>5</v>
      </c>
      <c r="F69" t="s">
        <v>78</v>
      </c>
    </row>
    <row r="70" spans="1:6" x14ac:dyDescent="0.2">
      <c r="A70" t="str">
        <f t="shared" si="1"/>
        <v>NBI12_U_10</v>
      </c>
      <c r="B70">
        <v>1.3</v>
      </c>
      <c r="C70">
        <v>1</v>
      </c>
      <c r="D70">
        <v>1</v>
      </c>
      <c r="E70">
        <v>10</v>
      </c>
      <c r="F70" t="s">
        <v>78</v>
      </c>
    </row>
    <row r="71" spans="1:6" x14ac:dyDescent="0.2">
      <c r="A71" t="str">
        <f t="shared" si="1"/>
        <v>NBI12_U_15</v>
      </c>
      <c r="B71">
        <v>1.2</v>
      </c>
      <c r="C71">
        <v>1</v>
      </c>
      <c r="D71">
        <v>1</v>
      </c>
      <c r="E71">
        <v>15</v>
      </c>
      <c r="F71" t="s">
        <v>78</v>
      </c>
    </row>
    <row r="72" spans="1:6" x14ac:dyDescent="0.2">
      <c r="A72" t="str">
        <f t="shared" si="1"/>
        <v>NBI12_U_20</v>
      </c>
      <c r="B72">
        <v>1.1000000000000001</v>
      </c>
      <c r="C72">
        <v>1</v>
      </c>
      <c r="D72">
        <v>1</v>
      </c>
      <c r="E72">
        <v>20</v>
      </c>
      <c r="F72" t="s">
        <v>78</v>
      </c>
    </row>
    <row r="73" spans="1:6" x14ac:dyDescent="0.2">
      <c r="A73" t="str">
        <f t="shared" si="1"/>
        <v>NBI12_U_25</v>
      </c>
      <c r="B73">
        <v>1</v>
      </c>
      <c r="C73">
        <v>1</v>
      </c>
      <c r="D73">
        <v>1</v>
      </c>
      <c r="E73">
        <v>25</v>
      </c>
      <c r="F73" t="s">
        <v>78</v>
      </c>
    </row>
    <row r="74" spans="1:6" x14ac:dyDescent="0.2">
      <c r="A74" t="str">
        <f t="shared" si="1"/>
        <v>NBI12_U_30</v>
      </c>
      <c r="B74">
        <v>0.94</v>
      </c>
      <c r="C74">
        <v>1</v>
      </c>
      <c r="D74">
        <v>1</v>
      </c>
      <c r="E74">
        <v>30</v>
      </c>
      <c r="F74" t="s">
        <v>78</v>
      </c>
    </row>
    <row r="75" spans="1:6" x14ac:dyDescent="0.2">
      <c r="A75" t="str">
        <f t="shared" si="1"/>
        <v>NBI12_U_35</v>
      </c>
      <c r="B75">
        <v>0.88</v>
      </c>
      <c r="C75">
        <v>1</v>
      </c>
      <c r="D75">
        <v>1</v>
      </c>
      <c r="E75">
        <v>35</v>
      </c>
      <c r="F75" t="s">
        <v>78</v>
      </c>
    </row>
    <row r="76" spans="1:6" x14ac:dyDescent="0.2">
      <c r="A76" t="str">
        <f t="shared" si="1"/>
        <v>NBI12_U_40</v>
      </c>
      <c r="B76">
        <v>0.82</v>
      </c>
      <c r="C76">
        <v>1</v>
      </c>
      <c r="D76">
        <v>1</v>
      </c>
      <c r="E76">
        <v>40</v>
      </c>
      <c r="F76" t="s">
        <v>78</v>
      </c>
    </row>
    <row r="77" spans="1:6" x14ac:dyDescent="0.2">
      <c r="A77" t="str">
        <f t="shared" si="1"/>
        <v>NBI12_U_45</v>
      </c>
      <c r="B77">
        <v>0.76</v>
      </c>
      <c r="C77">
        <v>1</v>
      </c>
      <c r="D77">
        <v>1</v>
      </c>
      <c r="E77">
        <v>45</v>
      </c>
      <c r="F77" t="s">
        <v>78</v>
      </c>
    </row>
    <row r="78" spans="1:6" x14ac:dyDescent="0.2">
      <c r="A78" t="str">
        <f t="shared" si="1"/>
        <v>NBI12_U_50</v>
      </c>
      <c r="B78">
        <v>0.7</v>
      </c>
      <c r="C78">
        <v>1</v>
      </c>
      <c r="D78">
        <v>1</v>
      </c>
      <c r="E78">
        <v>50</v>
      </c>
      <c r="F78" t="s">
        <v>78</v>
      </c>
    </row>
    <row r="79" spans="1:6" x14ac:dyDescent="0.2">
      <c r="A79" t="str">
        <f t="shared" si="1"/>
        <v>NBI12_U_55</v>
      </c>
      <c r="B79">
        <v>0.68</v>
      </c>
      <c r="C79">
        <v>1</v>
      </c>
      <c r="D79">
        <v>1</v>
      </c>
      <c r="E79">
        <v>55</v>
      </c>
      <c r="F79" t="s">
        <v>78</v>
      </c>
    </row>
    <row r="80" spans="1:6" x14ac:dyDescent="0.2">
      <c r="A80" t="str">
        <f t="shared" si="1"/>
        <v>NBI12_U_60</v>
      </c>
      <c r="B80">
        <v>0.66</v>
      </c>
      <c r="C80">
        <v>1</v>
      </c>
      <c r="D80">
        <v>1</v>
      </c>
      <c r="E80">
        <v>60</v>
      </c>
      <c r="F80" t="s">
        <v>78</v>
      </c>
    </row>
    <row r="81" spans="1:6" x14ac:dyDescent="0.2">
      <c r="A81" t="str">
        <f t="shared" si="1"/>
        <v>NBI12_U_65</v>
      </c>
      <c r="B81">
        <v>0.64</v>
      </c>
      <c r="C81">
        <v>1</v>
      </c>
      <c r="D81">
        <v>1</v>
      </c>
      <c r="E81">
        <v>65</v>
      </c>
      <c r="F81" t="s">
        <v>78</v>
      </c>
    </row>
    <row r="82" spans="1:6" x14ac:dyDescent="0.2">
      <c r="A82" t="str">
        <f t="shared" si="1"/>
        <v>NBI12_U_70</v>
      </c>
      <c r="B82">
        <v>0.62</v>
      </c>
      <c r="C82">
        <v>1</v>
      </c>
      <c r="D82">
        <v>1</v>
      </c>
      <c r="E82">
        <v>70</v>
      </c>
      <c r="F82" t="s">
        <v>78</v>
      </c>
    </row>
    <row r="83" spans="1:6" x14ac:dyDescent="0.2">
      <c r="A83" t="str">
        <f t="shared" si="1"/>
        <v>NBI12_U_75</v>
      </c>
      <c r="B83">
        <v>0.6</v>
      </c>
      <c r="C83">
        <v>1</v>
      </c>
      <c r="D83">
        <v>1</v>
      </c>
      <c r="E83">
        <v>75</v>
      </c>
      <c r="F83" t="s">
        <v>78</v>
      </c>
    </row>
    <row r="84" spans="1:6" x14ac:dyDescent="0.2">
      <c r="A84" t="str">
        <f t="shared" si="1"/>
        <v>NBI12_U_80</v>
      </c>
      <c r="B84">
        <v>0.57999999999999996</v>
      </c>
      <c r="C84">
        <v>1</v>
      </c>
      <c r="D84">
        <v>1</v>
      </c>
      <c r="E84">
        <v>80</v>
      </c>
      <c r="F84" t="s">
        <v>78</v>
      </c>
    </row>
    <row r="85" spans="1:6" x14ac:dyDescent="0.2">
      <c r="A85" t="str">
        <f t="shared" si="1"/>
        <v>NBI12_U_85</v>
      </c>
      <c r="B85">
        <v>0.56000000000000005</v>
      </c>
      <c r="C85">
        <v>1</v>
      </c>
      <c r="D85">
        <v>1</v>
      </c>
      <c r="E85">
        <v>85</v>
      </c>
      <c r="F85" t="s">
        <v>78</v>
      </c>
    </row>
    <row r="86" spans="1:6" x14ac:dyDescent="0.2">
      <c r="A86" t="str">
        <f t="shared" si="1"/>
        <v>NBI12_U_90</v>
      </c>
      <c r="B86">
        <v>0.54</v>
      </c>
      <c r="C86">
        <v>1</v>
      </c>
      <c r="D86">
        <v>1</v>
      </c>
      <c r="E86">
        <v>90</v>
      </c>
      <c r="F86" t="s">
        <v>78</v>
      </c>
    </row>
    <row r="87" spans="1:6" x14ac:dyDescent="0.2">
      <c r="A87" t="str">
        <f t="shared" si="1"/>
        <v>NBI12_U_95</v>
      </c>
      <c r="B87">
        <v>0.52</v>
      </c>
      <c r="C87">
        <v>1</v>
      </c>
      <c r="D87">
        <v>1</v>
      </c>
      <c r="E87">
        <v>95</v>
      </c>
      <c r="F87" t="s">
        <v>78</v>
      </c>
    </row>
    <row r="88" spans="1:6" x14ac:dyDescent="0.2">
      <c r="A88" t="str">
        <f t="shared" si="1"/>
        <v>NBI12_U_100</v>
      </c>
      <c r="B88">
        <v>0.5</v>
      </c>
      <c r="C88">
        <v>1</v>
      </c>
      <c r="D88">
        <v>1</v>
      </c>
      <c r="E88">
        <v>100</v>
      </c>
      <c r="F88" t="s">
        <v>78</v>
      </c>
    </row>
    <row r="89" spans="1:6" x14ac:dyDescent="0.2">
      <c r="A89" t="str">
        <f t="shared" si="1"/>
        <v/>
      </c>
    </row>
    <row r="90" spans="1:6" x14ac:dyDescent="0.2">
      <c r="A90" t="str">
        <f t="shared" si="1"/>
        <v>NBI12_Kita_5</v>
      </c>
      <c r="B90" s="122">
        <v>1.4</v>
      </c>
      <c r="C90">
        <v>1</v>
      </c>
      <c r="D90">
        <v>1</v>
      </c>
      <c r="E90">
        <v>5</v>
      </c>
      <c r="F90" t="s">
        <v>80</v>
      </c>
    </row>
    <row r="91" spans="1:6" x14ac:dyDescent="0.2">
      <c r="A91" t="str">
        <f t="shared" si="1"/>
        <v>NBI12_Kita_10</v>
      </c>
      <c r="B91">
        <v>1.3</v>
      </c>
      <c r="C91">
        <v>1</v>
      </c>
      <c r="D91">
        <v>1</v>
      </c>
      <c r="E91">
        <v>10</v>
      </c>
      <c r="F91" t="s">
        <v>80</v>
      </c>
    </row>
    <row r="92" spans="1:6" x14ac:dyDescent="0.2">
      <c r="A92" t="str">
        <f t="shared" si="1"/>
        <v>NBI12_Kita_15</v>
      </c>
      <c r="B92">
        <v>1.2</v>
      </c>
      <c r="C92">
        <v>1</v>
      </c>
      <c r="D92">
        <v>1</v>
      </c>
      <c r="E92">
        <v>15</v>
      </c>
      <c r="F92" t="s">
        <v>80</v>
      </c>
    </row>
    <row r="93" spans="1:6" x14ac:dyDescent="0.2">
      <c r="A93" t="str">
        <f t="shared" si="1"/>
        <v>NBI12_Kita_20</v>
      </c>
      <c r="B93">
        <v>1.1000000000000001</v>
      </c>
      <c r="C93">
        <v>1</v>
      </c>
      <c r="D93">
        <v>1</v>
      </c>
      <c r="E93">
        <v>20</v>
      </c>
      <c r="F93" t="s">
        <v>80</v>
      </c>
    </row>
    <row r="94" spans="1:6" x14ac:dyDescent="0.2">
      <c r="A94" t="str">
        <f t="shared" si="1"/>
        <v>NBI12_Kita_25</v>
      </c>
      <c r="B94">
        <v>1</v>
      </c>
      <c r="C94">
        <v>1</v>
      </c>
      <c r="D94">
        <v>1</v>
      </c>
      <c r="E94">
        <v>25</v>
      </c>
      <c r="F94" t="s">
        <v>80</v>
      </c>
    </row>
    <row r="95" spans="1:6" x14ac:dyDescent="0.2">
      <c r="A95" t="str">
        <f t="shared" si="1"/>
        <v>NBI12_Kita_30</v>
      </c>
      <c r="B95">
        <v>0.94</v>
      </c>
      <c r="C95">
        <v>1</v>
      </c>
      <c r="D95">
        <v>1</v>
      </c>
      <c r="E95">
        <v>30</v>
      </c>
      <c r="F95" t="s">
        <v>80</v>
      </c>
    </row>
    <row r="96" spans="1:6" x14ac:dyDescent="0.2">
      <c r="A96" t="str">
        <f t="shared" si="1"/>
        <v>NBI12_Kita_35</v>
      </c>
      <c r="B96">
        <v>0.88</v>
      </c>
      <c r="C96">
        <v>1</v>
      </c>
      <c r="D96">
        <v>1</v>
      </c>
      <c r="E96">
        <v>35</v>
      </c>
      <c r="F96" t="s">
        <v>80</v>
      </c>
    </row>
    <row r="97" spans="1:6" x14ac:dyDescent="0.2">
      <c r="A97" t="str">
        <f t="shared" si="1"/>
        <v>NBI12_Kita_40</v>
      </c>
      <c r="B97">
        <v>0.82</v>
      </c>
      <c r="C97">
        <v>1</v>
      </c>
      <c r="D97">
        <v>1</v>
      </c>
      <c r="E97">
        <v>40</v>
      </c>
      <c r="F97" t="s">
        <v>80</v>
      </c>
    </row>
    <row r="98" spans="1:6" x14ac:dyDescent="0.2">
      <c r="A98" t="str">
        <f t="shared" si="1"/>
        <v>NBI12_Kita_45</v>
      </c>
      <c r="B98">
        <v>0.76</v>
      </c>
      <c r="C98">
        <v>1</v>
      </c>
      <c r="D98">
        <v>1</v>
      </c>
      <c r="E98">
        <v>45</v>
      </c>
      <c r="F98" t="s">
        <v>80</v>
      </c>
    </row>
    <row r="99" spans="1:6" x14ac:dyDescent="0.2">
      <c r="A99" t="str">
        <f t="shared" si="1"/>
        <v>NBI12_Kita_50</v>
      </c>
      <c r="B99">
        <v>0.7</v>
      </c>
      <c r="C99">
        <v>1</v>
      </c>
      <c r="D99">
        <v>1</v>
      </c>
      <c r="E99">
        <v>50</v>
      </c>
      <c r="F99" t="s">
        <v>80</v>
      </c>
    </row>
    <row r="100" spans="1:6" x14ac:dyDescent="0.2">
      <c r="A100" t="str">
        <f t="shared" si="1"/>
        <v>NBI12_Kita_55</v>
      </c>
      <c r="B100">
        <v>0.68</v>
      </c>
      <c r="C100">
        <v>1</v>
      </c>
      <c r="D100">
        <v>1</v>
      </c>
      <c r="E100">
        <v>55</v>
      </c>
      <c r="F100" t="s">
        <v>80</v>
      </c>
    </row>
    <row r="101" spans="1:6" x14ac:dyDescent="0.2">
      <c r="A101" t="str">
        <f t="shared" si="1"/>
        <v>NBI12_Kita_60</v>
      </c>
      <c r="B101">
        <v>0.66</v>
      </c>
      <c r="C101">
        <v>1</v>
      </c>
      <c r="D101">
        <v>1</v>
      </c>
      <c r="E101">
        <v>60</v>
      </c>
      <c r="F101" t="s">
        <v>80</v>
      </c>
    </row>
    <row r="102" spans="1:6" x14ac:dyDescent="0.2">
      <c r="A102" t="str">
        <f t="shared" si="1"/>
        <v>NBI12_Kita_65</v>
      </c>
      <c r="B102">
        <v>0.64</v>
      </c>
      <c r="C102">
        <v>1</v>
      </c>
      <c r="D102">
        <v>1</v>
      </c>
      <c r="E102">
        <v>65</v>
      </c>
      <c r="F102" t="s">
        <v>80</v>
      </c>
    </row>
    <row r="103" spans="1:6" x14ac:dyDescent="0.2">
      <c r="A103" t="str">
        <f t="shared" si="1"/>
        <v>NBI12_Kita_70</v>
      </c>
      <c r="B103">
        <v>0.62</v>
      </c>
      <c r="C103">
        <v>1</v>
      </c>
      <c r="D103">
        <v>1</v>
      </c>
      <c r="E103">
        <v>70</v>
      </c>
      <c r="F103" t="s">
        <v>80</v>
      </c>
    </row>
    <row r="104" spans="1:6" x14ac:dyDescent="0.2">
      <c r="A104" t="str">
        <f t="shared" si="1"/>
        <v>NBI12_Kita_75</v>
      </c>
      <c r="B104">
        <v>0.6</v>
      </c>
      <c r="C104">
        <v>1</v>
      </c>
      <c r="D104">
        <v>1</v>
      </c>
      <c r="E104">
        <v>75</v>
      </c>
      <c r="F104" t="s">
        <v>80</v>
      </c>
    </row>
    <row r="105" spans="1:6" x14ac:dyDescent="0.2">
      <c r="A105" t="str">
        <f t="shared" si="1"/>
        <v>NBI12_Kita_80</v>
      </c>
      <c r="B105">
        <v>0.57999999999999996</v>
      </c>
      <c r="C105">
        <v>1</v>
      </c>
      <c r="D105">
        <v>1</v>
      </c>
      <c r="E105">
        <v>80</v>
      </c>
      <c r="F105" t="s">
        <v>80</v>
      </c>
    </row>
    <row r="106" spans="1:6" x14ac:dyDescent="0.2">
      <c r="A106" t="str">
        <f t="shared" si="1"/>
        <v>NBI12_Kita_85</v>
      </c>
      <c r="B106">
        <v>0.56000000000000005</v>
      </c>
      <c r="C106">
        <v>1</v>
      </c>
      <c r="D106">
        <v>1</v>
      </c>
      <c r="E106">
        <v>85</v>
      </c>
      <c r="F106" t="s">
        <v>80</v>
      </c>
    </row>
    <row r="107" spans="1:6" x14ac:dyDescent="0.2">
      <c r="A107" t="str">
        <f t="shared" si="1"/>
        <v>NBI12_Kita_90</v>
      </c>
      <c r="B107">
        <v>0.54</v>
      </c>
      <c r="C107">
        <v>1</v>
      </c>
      <c r="D107">
        <v>1</v>
      </c>
      <c r="E107">
        <v>90</v>
      </c>
      <c r="F107" t="s">
        <v>80</v>
      </c>
    </row>
    <row r="108" spans="1:6" x14ac:dyDescent="0.2">
      <c r="A108" t="str">
        <f t="shared" si="1"/>
        <v>NBI12_Kita_95</v>
      </c>
      <c r="B108">
        <v>0.52</v>
      </c>
      <c r="C108">
        <v>1</v>
      </c>
      <c r="D108">
        <v>1</v>
      </c>
      <c r="E108">
        <v>95</v>
      </c>
      <c r="F108" t="s">
        <v>80</v>
      </c>
    </row>
    <row r="109" spans="1:6" x14ac:dyDescent="0.2">
      <c r="A109" t="str">
        <f t="shared" si="1"/>
        <v>NBI12_Kita_100</v>
      </c>
      <c r="B109">
        <v>0.5</v>
      </c>
      <c r="C109">
        <v>1</v>
      </c>
      <c r="D109">
        <v>1</v>
      </c>
      <c r="E109">
        <v>100</v>
      </c>
      <c r="F109" t="s">
        <v>80</v>
      </c>
    </row>
    <row r="110" spans="1:6" x14ac:dyDescent="0.2">
      <c r="A110" t="str">
        <f t="shared" si="1"/>
        <v/>
      </c>
    </row>
    <row r="111" spans="1:6" x14ac:dyDescent="0.2">
      <c r="A111" t="str">
        <f t="shared" si="1"/>
        <v>NWO15_5</v>
      </c>
      <c r="B111" s="122">
        <v>1.4</v>
      </c>
      <c r="C111">
        <v>1</v>
      </c>
      <c r="D111">
        <v>1</v>
      </c>
      <c r="E111">
        <v>5</v>
      </c>
      <c r="F111" t="s">
        <v>82</v>
      </c>
    </row>
    <row r="112" spans="1:6" x14ac:dyDescent="0.2">
      <c r="A112" t="str">
        <f t="shared" si="1"/>
        <v>NWO15_10</v>
      </c>
      <c r="B112">
        <v>1.3</v>
      </c>
      <c r="C112">
        <v>1</v>
      </c>
      <c r="D112">
        <v>1</v>
      </c>
      <c r="E112">
        <v>10</v>
      </c>
      <c r="F112" t="s">
        <v>82</v>
      </c>
    </row>
    <row r="113" spans="1:6" x14ac:dyDescent="0.2">
      <c r="A113" t="str">
        <f t="shared" si="1"/>
        <v>NWO15_15</v>
      </c>
      <c r="B113">
        <v>1.2</v>
      </c>
      <c r="C113">
        <v>1</v>
      </c>
      <c r="D113">
        <v>1</v>
      </c>
      <c r="E113">
        <v>15</v>
      </c>
      <c r="F113" t="s">
        <v>82</v>
      </c>
    </row>
    <row r="114" spans="1:6" x14ac:dyDescent="0.2">
      <c r="A114" t="str">
        <f t="shared" si="1"/>
        <v>NWO15_20</v>
      </c>
      <c r="B114">
        <v>1.1000000000000001</v>
      </c>
      <c r="C114">
        <v>1</v>
      </c>
      <c r="D114">
        <v>1</v>
      </c>
      <c r="E114">
        <v>20</v>
      </c>
      <c r="F114" t="s">
        <v>82</v>
      </c>
    </row>
    <row r="115" spans="1:6" x14ac:dyDescent="0.2">
      <c r="A115" t="str">
        <f t="shared" si="1"/>
        <v>NWO15_25</v>
      </c>
      <c r="B115">
        <v>1</v>
      </c>
      <c r="C115">
        <v>1</v>
      </c>
      <c r="D115">
        <v>1</v>
      </c>
      <c r="E115">
        <v>25</v>
      </c>
      <c r="F115" t="s">
        <v>82</v>
      </c>
    </row>
    <row r="116" spans="1:6" x14ac:dyDescent="0.2">
      <c r="A116" t="str">
        <f t="shared" si="1"/>
        <v>NWO15_30</v>
      </c>
      <c r="B116">
        <v>0.94</v>
      </c>
      <c r="C116">
        <v>1</v>
      </c>
      <c r="D116">
        <v>1</v>
      </c>
      <c r="E116">
        <v>30</v>
      </c>
      <c r="F116" t="s">
        <v>82</v>
      </c>
    </row>
    <row r="117" spans="1:6" x14ac:dyDescent="0.2">
      <c r="A117" t="str">
        <f t="shared" si="1"/>
        <v>NWO15_35</v>
      </c>
      <c r="B117">
        <v>0.88</v>
      </c>
      <c r="C117">
        <v>1</v>
      </c>
      <c r="D117">
        <v>1</v>
      </c>
      <c r="E117">
        <v>35</v>
      </c>
      <c r="F117" t="s">
        <v>82</v>
      </c>
    </row>
    <row r="118" spans="1:6" x14ac:dyDescent="0.2">
      <c r="A118" t="str">
        <f t="shared" si="1"/>
        <v>NWO15_40</v>
      </c>
      <c r="B118">
        <v>0.82</v>
      </c>
      <c r="C118">
        <v>1</v>
      </c>
      <c r="D118">
        <v>1</v>
      </c>
      <c r="E118">
        <v>40</v>
      </c>
      <c r="F118" t="s">
        <v>82</v>
      </c>
    </row>
    <row r="119" spans="1:6" x14ac:dyDescent="0.2">
      <c r="A119" t="str">
        <f t="shared" si="1"/>
        <v>NWO15_45</v>
      </c>
      <c r="B119">
        <v>0.76</v>
      </c>
      <c r="C119">
        <v>1</v>
      </c>
      <c r="D119">
        <v>1</v>
      </c>
      <c r="E119">
        <v>45</v>
      </c>
      <c r="F119" t="s">
        <v>82</v>
      </c>
    </row>
    <row r="120" spans="1:6" x14ac:dyDescent="0.2">
      <c r="A120" t="str">
        <f t="shared" si="1"/>
        <v>NWO15_50</v>
      </c>
      <c r="B120">
        <v>0.7</v>
      </c>
      <c r="C120">
        <v>1</v>
      </c>
      <c r="D120">
        <v>1</v>
      </c>
      <c r="E120">
        <v>50</v>
      </c>
      <c r="F120" t="s">
        <v>82</v>
      </c>
    </row>
    <row r="121" spans="1:6" x14ac:dyDescent="0.2">
      <c r="A121" t="str">
        <f t="shared" si="1"/>
        <v>NWO15_55</v>
      </c>
      <c r="B121">
        <v>0.67</v>
      </c>
      <c r="C121">
        <v>1</v>
      </c>
      <c r="D121">
        <v>1</v>
      </c>
      <c r="E121">
        <v>55</v>
      </c>
      <c r="F121" t="s">
        <v>82</v>
      </c>
    </row>
    <row r="122" spans="1:6" x14ac:dyDescent="0.2">
      <c r="A122" t="str">
        <f t="shared" si="1"/>
        <v>NWO15_60</v>
      </c>
      <c r="B122">
        <v>0.64</v>
      </c>
      <c r="C122">
        <v>1</v>
      </c>
      <c r="D122">
        <v>1</v>
      </c>
      <c r="E122">
        <v>60</v>
      </c>
      <c r="F122" t="s">
        <v>82</v>
      </c>
    </row>
    <row r="123" spans="1:6" x14ac:dyDescent="0.2">
      <c r="A123" t="str">
        <f t="shared" si="1"/>
        <v>NWO15_65</v>
      </c>
      <c r="B123">
        <v>0.61</v>
      </c>
      <c r="C123">
        <v>1</v>
      </c>
      <c r="D123">
        <v>1</v>
      </c>
      <c r="E123">
        <v>65</v>
      </c>
      <c r="F123" t="s">
        <v>82</v>
      </c>
    </row>
    <row r="124" spans="1:6" x14ac:dyDescent="0.2">
      <c r="A124" t="str">
        <f t="shared" si="1"/>
        <v>NWO15_70</v>
      </c>
      <c r="B124">
        <v>0.57999999999999996</v>
      </c>
      <c r="C124">
        <v>1</v>
      </c>
      <c r="D124">
        <v>1</v>
      </c>
      <c r="E124">
        <v>70</v>
      </c>
      <c r="F124" t="s">
        <v>82</v>
      </c>
    </row>
    <row r="125" spans="1:6" x14ac:dyDescent="0.2">
      <c r="A125" t="str">
        <f t="shared" si="1"/>
        <v>NWO15_75</v>
      </c>
      <c r="B125">
        <v>0.55000000000000004</v>
      </c>
      <c r="C125">
        <v>1</v>
      </c>
      <c r="D125">
        <v>1</v>
      </c>
      <c r="E125">
        <v>75</v>
      </c>
      <c r="F125" t="s">
        <v>82</v>
      </c>
    </row>
    <row r="126" spans="1:6" x14ac:dyDescent="0.2">
      <c r="A126" t="str">
        <f t="shared" si="1"/>
        <v>NWO15_80</v>
      </c>
      <c r="B126">
        <v>0.52</v>
      </c>
      <c r="C126">
        <v>1</v>
      </c>
      <c r="D126">
        <v>1</v>
      </c>
      <c r="E126">
        <v>80</v>
      </c>
      <c r="F126" t="s">
        <v>82</v>
      </c>
    </row>
    <row r="127" spans="1:6" x14ac:dyDescent="0.2">
      <c r="A127" t="str">
        <f t="shared" si="1"/>
        <v>NWO15_85</v>
      </c>
      <c r="B127">
        <v>0.49</v>
      </c>
      <c r="C127">
        <v>1</v>
      </c>
      <c r="D127">
        <v>1</v>
      </c>
      <c r="E127">
        <v>85</v>
      </c>
      <c r="F127" t="s">
        <v>82</v>
      </c>
    </row>
    <row r="128" spans="1:6" x14ac:dyDescent="0.2">
      <c r="A128" t="str">
        <f t="shared" si="1"/>
        <v>NWO15_90</v>
      </c>
      <c r="B128">
        <v>0.46</v>
      </c>
      <c r="C128">
        <v>1</v>
      </c>
      <c r="D128">
        <v>1</v>
      </c>
      <c r="E128">
        <v>90</v>
      </c>
      <c r="F128" t="s">
        <v>82</v>
      </c>
    </row>
    <row r="129" spans="1:6" x14ac:dyDescent="0.2">
      <c r="A129" t="str">
        <f t="shared" si="1"/>
        <v>NWO15_95</v>
      </c>
      <c r="B129">
        <v>0.43</v>
      </c>
      <c r="C129">
        <v>1</v>
      </c>
      <c r="D129">
        <v>1</v>
      </c>
      <c r="E129">
        <v>95</v>
      </c>
      <c r="F129" t="s">
        <v>82</v>
      </c>
    </row>
    <row r="130" spans="1:6" x14ac:dyDescent="0.2">
      <c r="A130" t="str">
        <f t="shared" si="1"/>
        <v>NWO15_100</v>
      </c>
      <c r="B130">
        <v>0.4</v>
      </c>
      <c r="C130">
        <v>1</v>
      </c>
      <c r="D130">
        <v>1</v>
      </c>
      <c r="E130">
        <v>100</v>
      </c>
      <c r="F130" t="s">
        <v>82</v>
      </c>
    </row>
    <row r="131" spans="1:6" x14ac:dyDescent="0.2">
      <c r="A131" t="str">
        <f t="shared" ref="A131:A194" si="2">IF(F131="","",CONCATENATE(F131,"_",E131))</f>
        <v>NWO15_110</v>
      </c>
      <c r="B131">
        <v>0.4</v>
      </c>
      <c r="C131">
        <v>1</v>
      </c>
      <c r="D131">
        <v>0.75</v>
      </c>
      <c r="E131">
        <v>110</v>
      </c>
      <c r="F131" t="s">
        <v>82</v>
      </c>
    </row>
    <row r="132" spans="1:6" x14ac:dyDescent="0.2">
      <c r="A132" t="str">
        <f t="shared" si="2"/>
        <v>NWO15_120</v>
      </c>
      <c r="B132">
        <v>0.4</v>
      </c>
      <c r="C132">
        <v>1</v>
      </c>
      <c r="D132">
        <v>0.5</v>
      </c>
      <c r="E132">
        <v>120</v>
      </c>
      <c r="F132" t="s">
        <v>82</v>
      </c>
    </row>
    <row r="133" spans="1:6" x14ac:dyDescent="0.2">
      <c r="A133" t="str">
        <f t="shared" si="2"/>
        <v/>
      </c>
    </row>
    <row r="134" spans="1:6" x14ac:dyDescent="0.2">
      <c r="A134" t="str">
        <f t="shared" si="2"/>
        <v>NWO12_U_5</v>
      </c>
      <c r="B134" s="122">
        <v>1.4</v>
      </c>
      <c r="C134">
        <v>1</v>
      </c>
      <c r="D134">
        <v>1</v>
      </c>
      <c r="E134">
        <v>5</v>
      </c>
      <c r="F134" t="s">
        <v>83</v>
      </c>
    </row>
    <row r="135" spans="1:6" x14ac:dyDescent="0.2">
      <c r="A135" t="str">
        <f t="shared" si="2"/>
        <v>NWO12_U_10</v>
      </c>
      <c r="B135">
        <v>1.3</v>
      </c>
      <c r="C135">
        <v>1</v>
      </c>
      <c r="D135">
        <v>1</v>
      </c>
      <c r="E135">
        <v>10</v>
      </c>
      <c r="F135" t="s">
        <v>83</v>
      </c>
    </row>
    <row r="136" spans="1:6" x14ac:dyDescent="0.2">
      <c r="A136" t="str">
        <f t="shared" si="2"/>
        <v>NWO12_U_15</v>
      </c>
      <c r="B136">
        <v>1.2</v>
      </c>
      <c r="C136">
        <v>1</v>
      </c>
      <c r="D136">
        <v>1</v>
      </c>
      <c r="E136">
        <v>15</v>
      </c>
      <c r="F136" t="s">
        <v>83</v>
      </c>
    </row>
    <row r="137" spans="1:6" x14ac:dyDescent="0.2">
      <c r="A137" t="str">
        <f t="shared" si="2"/>
        <v>NWO12_U_20</v>
      </c>
      <c r="B137">
        <v>1.1000000000000001</v>
      </c>
      <c r="C137">
        <v>1</v>
      </c>
      <c r="D137">
        <v>1</v>
      </c>
      <c r="E137">
        <v>20</v>
      </c>
      <c r="F137" t="s">
        <v>83</v>
      </c>
    </row>
    <row r="138" spans="1:6" x14ac:dyDescent="0.2">
      <c r="A138" t="str">
        <f t="shared" si="2"/>
        <v>NWO12_U_25</v>
      </c>
      <c r="B138">
        <v>1</v>
      </c>
      <c r="C138">
        <v>1</v>
      </c>
      <c r="D138">
        <v>1</v>
      </c>
      <c r="E138">
        <v>25</v>
      </c>
      <c r="F138" t="s">
        <v>83</v>
      </c>
    </row>
    <row r="139" spans="1:6" x14ac:dyDescent="0.2">
      <c r="A139" t="str">
        <f t="shared" si="2"/>
        <v>NWO12_U_30</v>
      </c>
      <c r="B139">
        <v>0.94</v>
      </c>
      <c r="C139">
        <v>1</v>
      </c>
      <c r="D139">
        <v>1</v>
      </c>
      <c r="E139">
        <v>30</v>
      </c>
      <c r="F139" t="s">
        <v>83</v>
      </c>
    </row>
    <row r="140" spans="1:6" x14ac:dyDescent="0.2">
      <c r="A140" t="str">
        <f t="shared" si="2"/>
        <v>NWO12_U_35</v>
      </c>
      <c r="B140">
        <v>0.88</v>
      </c>
      <c r="C140">
        <v>1</v>
      </c>
      <c r="D140">
        <v>1</v>
      </c>
      <c r="E140">
        <v>35</v>
      </c>
      <c r="F140" t="s">
        <v>83</v>
      </c>
    </row>
    <row r="141" spans="1:6" x14ac:dyDescent="0.2">
      <c r="A141" t="str">
        <f t="shared" si="2"/>
        <v>NWO12_U_40</v>
      </c>
      <c r="B141">
        <v>0.82</v>
      </c>
      <c r="C141">
        <v>1</v>
      </c>
      <c r="D141">
        <v>1</v>
      </c>
      <c r="E141">
        <v>40</v>
      </c>
      <c r="F141" t="s">
        <v>83</v>
      </c>
    </row>
    <row r="142" spans="1:6" x14ac:dyDescent="0.2">
      <c r="A142" t="str">
        <f t="shared" si="2"/>
        <v>NWO12_U_45</v>
      </c>
      <c r="B142">
        <v>0.76</v>
      </c>
      <c r="C142">
        <v>1</v>
      </c>
      <c r="D142">
        <v>1</v>
      </c>
      <c r="E142">
        <v>45</v>
      </c>
      <c r="F142" t="s">
        <v>83</v>
      </c>
    </row>
    <row r="143" spans="1:6" x14ac:dyDescent="0.2">
      <c r="A143" t="str">
        <f t="shared" si="2"/>
        <v>NWO12_U_50</v>
      </c>
      <c r="B143">
        <v>0.7</v>
      </c>
      <c r="C143">
        <v>1</v>
      </c>
      <c r="D143">
        <v>1</v>
      </c>
      <c r="E143">
        <v>50</v>
      </c>
      <c r="F143" t="s">
        <v>83</v>
      </c>
    </row>
    <row r="144" spans="1:6" x14ac:dyDescent="0.2">
      <c r="A144" t="str">
        <f t="shared" si="2"/>
        <v>NWO12_U_55</v>
      </c>
      <c r="B144">
        <v>0.67</v>
      </c>
      <c r="C144">
        <v>1</v>
      </c>
      <c r="D144">
        <v>1</v>
      </c>
      <c r="E144">
        <v>55</v>
      </c>
      <c r="F144" t="s">
        <v>83</v>
      </c>
    </row>
    <row r="145" spans="1:6" x14ac:dyDescent="0.2">
      <c r="A145" t="str">
        <f t="shared" si="2"/>
        <v>NWO12_U_60</v>
      </c>
      <c r="B145">
        <v>0.64</v>
      </c>
      <c r="C145">
        <v>1</v>
      </c>
      <c r="D145">
        <v>1</v>
      </c>
      <c r="E145">
        <v>60</v>
      </c>
      <c r="F145" t="s">
        <v>83</v>
      </c>
    </row>
    <row r="146" spans="1:6" x14ac:dyDescent="0.2">
      <c r="A146" t="str">
        <f t="shared" si="2"/>
        <v>NWO12_U_65</v>
      </c>
      <c r="B146">
        <v>0.61</v>
      </c>
      <c r="C146">
        <v>1</v>
      </c>
      <c r="D146">
        <v>1</v>
      </c>
      <c r="E146">
        <v>65</v>
      </c>
      <c r="F146" t="s">
        <v>83</v>
      </c>
    </row>
    <row r="147" spans="1:6" x14ac:dyDescent="0.2">
      <c r="A147" t="str">
        <f t="shared" si="2"/>
        <v>NWO12_U_70</v>
      </c>
      <c r="B147">
        <v>0.57999999999999996</v>
      </c>
      <c r="C147">
        <v>1</v>
      </c>
      <c r="D147">
        <v>1</v>
      </c>
      <c r="E147">
        <v>70</v>
      </c>
      <c r="F147" t="s">
        <v>83</v>
      </c>
    </row>
    <row r="148" spans="1:6" x14ac:dyDescent="0.2">
      <c r="A148" t="str">
        <f t="shared" si="2"/>
        <v>NWO12_U_75</v>
      </c>
      <c r="B148">
        <v>0.55000000000000004</v>
      </c>
      <c r="C148">
        <v>1</v>
      </c>
      <c r="D148">
        <v>1</v>
      </c>
      <c r="E148">
        <v>75</v>
      </c>
      <c r="F148" t="s">
        <v>83</v>
      </c>
    </row>
    <row r="149" spans="1:6" x14ac:dyDescent="0.2">
      <c r="A149" t="str">
        <f t="shared" si="2"/>
        <v>NWO12_U_80</v>
      </c>
      <c r="B149">
        <v>0.52</v>
      </c>
      <c r="C149">
        <v>1</v>
      </c>
      <c r="D149">
        <v>1</v>
      </c>
      <c r="E149">
        <v>80</v>
      </c>
      <c r="F149" t="s">
        <v>83</v>
      </c>
    </row>
    <row r="150" spans="1:6" x14ac:dyDescent="0.2">
      <c r="A150" t="str">
        <f t="shared" si="2"/>
        <v>NWO12_U_85</v>
      </c>
      <c r="B150">
        <v>0.49</v>
      </c>
      <c r="C150">
        <v>1</v>
      </c>
      <c r="D150">
        <v>1</v>
      </c>
      <c r="E150">
        <v>85</v>
      </c>
      <c r="F150" t="s">
        <v>83</v>
      </c>
    </row>
    <row r="151" spans="1:6" x14ac:dyDescent="0.2">
      <c r="A151" t="str">
        <f t="shared" si="2"/>
        <v>NWO12_U_90</v>
      </c>
      <c r="B151">
        <v>0.46</v>
      </c>
      <c r="C151">
        <v>1</v>
      </c>
      <c r="D151">
        <v>1</v>
      </c>
      <c r="E151">
        <v>90</v>
      </c>
      <c r="F151" t="s">
        <v>83</v>
      </c>
    </row>
    <row r="152" spans="1:6" x14ac:dyDescent="0.2">
      <c r="A152" t="str">
        <f t="shared" si="2"/>
        <v>NWO12_U_95</v>
      </c>
      <c r="B152">
        <v>0.43</v>
      </c>
      <c r="C152">
        <v>1</v>
      </c>
      <c r="D152">
        <v>1</v>
      </c>
      <c r="E152">
        <v>95</v>
      </c>
      <c r="F152" t="s">
        <v>83</v>
      </c>
    </row>
    <row r="153" spans="1:6" x14ac:dyDescent="0.2">
      <c r="A153" t="str">
        <f t="shared" si="2"/>
        <v>NWO12_U_100</v>
      </c>
      <c r="B153">
        <v>0.4</v>
      </c>
      <c r="C153">
        <v>1</v>
      </c>
      <c r="D153">
        <v>1</v>
      </c>
      <c r="E153">
        <v>100</v>
      </c>
      <c r="F153" t="s">
        <v>83</v>
      </c>
    </row>
    <row r="154" spans="1:6" x14ac:dyDescent="0.2">
      <c r="A154" t="str">
        <f t="shared" si="2"/>
        <v/>
      </c>
    </row>
    <row r="155" spans="1:6" x14ac:dyDescent="0.2">
      <c r="A155" t="str">
        <f t="shared" si="2"/>
        <v>NKW13_5</v>
      </c>
      <c r="B155" s="122">
        <v>1.4</v>
      </c>
      <c r="C155">
        <v>1</v>
      </c>
      <c r="D155">
        <v>1</v>
      </c>
      <c r="E155">
        <v>5</v>
      </c>
      <c r="F155" t="s">
        <v>84</v>
      </c>
    </row>
    <row r="156" spans="1:6" x14ac:dyDescent="0.2">
      <c r="A156" t="str">
        <f t="shared" si="2"/>
        <v>NKW13_10</v>
      </c>
      <c r="B156">
        <v>1.3</v>
      </c>
      <c r="C156">
        <v>1</v>
      </c>
      <c r="D156">
        <v>1</v>
      </c>
      <c r="E156">
        <v>10</v>
      </c>
      <c r="F156" t="s">
        <v>84</v>
      </c>
    </row>
    <row r="157" spans="1:6" x14ac:dyDescent="0.2">
      <c r="A157" t="str">
        <f t="shared" si="2"/>
        <v>NKW13_15</v>
      </c>
      <c r="B157">
        <v>1.2</v>
      </c>
      <c r="C157">
        <v>1</v>
      </c>
      <c r="D157">
        <v>1</v>
      </c>
      <c r="E157">
        <v>15</v>
      </c>
      <c r="F157" t="s">
        <v>84</v>
      </c>
    </row>
    <row r="158" spans="1:6" x14ac:dyDescent="0.2">
      <c r="A158" t="str">
        <f t="shared" si="2"/>
        <v>NKW13_20</v>
      </c>
      <c r="B158">
        <v>1.1000000000000001</v>
      </c>
      <c r="C158">
        <v>1</v>
      </c>
      <c r="D158">
        <v>1</v>
      </c>
      <c r="E158">
        <v>20</v>
      </c>
      <c r="F158" t="s">
        <v>84</v>
      </c>
    </row>
    <row r="159" spans="1:6" x14ac:dyDescent="0.2">
      <c r="A159" t="str">
        <f t="shared" si="2"/>
        <v>NKW13_25</v>
      </c>
      <c r="B159">
        <v>1</v>
      </c>
      <c r="C159">
        <v>1</v>
      </c>
      <c r="D159">
        <v>1</v>
      </c>
      <c r="E159">
        <v>25</v>
      </c>
      <c r="F159" t="s">
        <v>84</v>
      </c>
    </row>
    <row r="160" spans="1:6" x14ac:dyDescent="0.2">
      <c r="A160" t="str">
        <f t="shared" si="2"/>
        <v>NKW13_30</v>
      </c>
      <c r="B160">
        <v>0.94</v>
      </c>
      <c r="C160">
        <v>1</v>
      </c>
      <c r="D160">
        <v>1</v>
      </c>
      <c r="E160">
        <v>30</v>
      </c>
      <c r="F160" t="s">
        <v>84</v>
      </c>
    </row>
    <row r="161" spans="1:6" x14ac:dyDescent="0.2">
      <c r="A161" t="str">
        <f t="shared" si="2"/>
        <v>NKW13_35</v>
      </c>
      <c r="B161">
        <v>0.88</v>
      </c>
      <c r="C161">
        <v>1</v>
      </c>
      <c r="D161">
        <v>1</v>
      </c>
      <c r="E161">
        <v>35</v>
      </c>
      <c r="F161" t="s">
        <v>84</v>
      </c>
    </row>
    <row r="162" spans="1:6" x14ac:dyDescent="0.2">
      <c r="A162" t="str">
        <f t="shared" si="2"/>
        <v>NKW13_40</v>
      </c>
      <c r="B162">
        <v>0.82</v>
      </c>
      <c r="C162">
        <v>1</v>
      </c>
      <c r="D162">
        <v>1</v>
      </c>
      <c r="E162">
        <v>40</v>
      </c>
      <c r="F162" t="s">
        <v>84</v>
      </c>
    </row>
    <row r="163" spans="1:6" x14ac:dyDescent="0.2">
      <c r="A163" t="str">
        <f t="shared" si="2"/>
        <v>NKW13_45</v>
      </c>
      <c r="B163">
        <v>0.76</v>
      </c>
      <c r="C163">
        <v>1</v>
      </c>
      <c r="D163">
        <v>1</v>
      </c>
      <c r="E163">
        <v>45</v>
      </c>
      <c r="F163" t="s">
        <v>84</v>
      </c>
    </row>
    <row r="164" spans="1:6" x14ac:dyDescent="0.2">
      <c r="A164" t="str">
        <f t="shared" si="2"/>
        <v>NKW13_50</v>
      </c>
      <c r="B164">
        <v>0.7</v>
      </c>
      <c r="C164">
        <v>1</v>
      </c>
      <c r="D164">
        <v>1</v>
      </c>
      <c r="E164">
        <v>50</v>
      </c>
      <c r="F164" t="s">
        <v>84</v>
      </c>
    </row>
    <row r="165" spans="1:6" x14ac:dyDescent="0.2">
      <c r="A165" t="str">
        <f t="shared" si="2"/>
        <v>NKW13_55</v>
      </c>
      <c r="B165">
        <v>0.67</v>
      </c>
      <c r="C165">
        <v>1</v>
      </c>
      <c r="D165">
        <v>1</v>
      </c>
      <c r="E165">
        <v>55</v>
      </c>
      <c r="F165" t="s">
        <v>84</v>
      </c>
    </row>
    <row r="166" spans="1:6" x14ac:dyDescent="0.2">
      <c r="A166" t="str">
        <f t="shared" si="2"/>
        <v>NKW13_60</v>
      </c>
      <c r="B166">
        <v>0.64</v>
      </c>
      <c r="C166">
        <v>1</v>
      </c>
      <c r="D166">
        <v>1</v>
      </c>
      <c r="E166">
        <v>60</v>
      </c>
      <c r="F166" t="s">
        <v>84</v>
      </c>
    </row>
    <row r="167" spans="1:6" x14ac:dyDescent="0.2">
      <c r="A167" t="str">
        <f t="shared" si="2"/>
        <v>NKW13_65</v>
      </c>
      <c r="B167">
        <v>0.61</v>
      </c>
      <c r="C167">
        <v>1</v>
      </c>
      <c r="D167">
        <v>1</v>
      </c>
      <c r="E167">
        <v>65</v>
      </c>
      <c r="F167" t="s">
        <v>84</v>
      </c>
    </row>
    <row r="168" spans="1:6" x14ac:dyDescent="0.2">
      <c r="A168" t="str">
        <f t="shared" si="2"/>
        <v>NKW13_70</v>
      </c>
      <c r="B168">
        <v>0.57999999999999996</v>
      </c>
      <c r="C168">
        <v>1</v>
      </c>
      <c r="D168">
        <v>1</v>
      </c>
      <c r="E168">
        <v>70</v>
      </c>
      <c r="F168" t="s">
        <v>84</v>
      </c>
    </row>
    <row r="169" spans="1:6" x14ac:dyDescent="0.2">
      <c r="A169" t="str">
        <f t="shared" si="2"/>
        <v>NKW13_75</v>
      </c>
      <c r="B169">
        <v>0.55000000000000004</v>
      </c>
      <c r="C169">
        <v>1</v>
      </c>
      <c r="D169">
        <v>1</v>
      </c>
      <c r="E169">
        <v>75</v>
      </c>
      <c r="F169" t="s">
        <v>84</v>
      </c>
    </row>
    <row r="170" spans="1:6" x14ac:dyDescent="0.2">
      <c r="A170" t="str">
        <f t="shared" si="2"/>
        <v>NKW13_80</v>
      </c>
      <c r="B170">
        <v>0.52</v>
      </c>
      <c r="C170">
        <v>1</v>
      </c>
      <c r="D170">
        <v>1</v>
      </c>
      <c r="E170">
        <v>80</v>
      </c>
      <c r="F170" t="s">
        <v>84</v>
      </c>
    </row>
    <row r="171" spans="1:6" x14ac:dyDescent="0.2">
      <c r="A171" t="str">
        <f t="shared" si="2"/>
        <v>NKW13_85</v>
      </c>
      <c r="B171">
        <v>0.49</v>
      </c>
      <c r="C171">
        <v>1</v>
      </c>
      <c r="D171">
        <v>1</v>
      </c>
      <c r="E171">
        <v>85</v>
      </c>
      <c r="F171" t="s">
        <v>84</v>
      </c>
    </row>
    <row r="172" spans="1:6" x14ac:dyDescent="0.2">
      <c r="A172" t="str">
        <f t="shared" si="2"/>
        <v>NKW13_90</v>
      </c>
      <c r="B172">
        <v>0.46</v>
      </c>
      <c r="C172">
        <v>1</v>
      </c>
      <c r="D172">
        <v>1</v>
      </c>
      <c r="E172">
        <v>90</v>
      </c>
      <c r="F172" t="s">
        <v>84</v>
      </c>
    </row>
    <row r="173" spans="1:6" x14ac:dyDescent="0.2">
      <c r="A173" t="str">
        <f t="shared" si="2"/>
        <v>NKW13_95</v>
      </c>
      <c r="B173">
        <v>0.43</v>
      </c>
      <c r="C173">
        <v>1</v>
      </c>
      <c r="D173">
        <v>1</v>
      </c>
      <c r="E173">
        <v>95</v>
      </c>
      <c r="F173" t="s">
        <v>84</v>
      </c>
    </row>
    <row r="174" spans="1:6" x14ac:dyDescent="0.2">
      <c r="A174" t="str">
        <f t="shared" si="2"/>
        <v>NKW13_100</v>
      </c>
      <c r="B174">
        <v>0.4</v>
      </c>
      <c r="C174">
        <v>1</v>
      </c>
      <c r="D174">
        <v>1</v>
      </c>
      <c r="E174">
        <v>100</v>
      </c>
      <c r="F174" t="s">
        <v>84</v>
      </c>
    </row>
    <row r="175" spans="1:6" x14ac:dyDescent="0.2">
      <c r="A175" t="str">
        <f t="shared" si="2"/>
        <v/>
      </c>
    </row>
    <row r="176" spans="1:6" x14ac:dyDescent="0.2">
      <c r="A176" t="str">
        <f t="shared" si="2"/>
        <v>NGH15_5</v>
      </c>
      <c r="B176" s="122">
        <v>1.4</v>
      </c>
      <c r="C176">
        <v>1</v>
      </c>
      <c r="D176">
        <v>1</v>
      </c>
      <c r="E176">
        <v>5</v>
      </c>
      <c r="F176" t="s">
        <v>85</v>
      </c>
    </row>
    <row r="177" spans="1:6" x14ac:dyDescent="0.2">
      <c r="A177" t="str">
        <f t="shared" si="2"/>
        <v>NGH15_10</v>
      </c>
      <c r="B177">
        <v>1.3</v>
      </c>
      <c r="C177">
        <v>1</v>
      </c>
      <c r="D177">
        <v>1</v>
      </c>
      <c r="E177">
        <v>10</v>
      </c>
      <c r="F177" t="s">
        <v>85</v>
      </c>
    </row>
    <row r="178" spans="1:6" x14ac:dyDescent="0.2">
      <c r="A178" t="str">
        <f t="shared" si="2"/>
        <v>NGH15_15</v>
      </c>
      <c r="B178">
        <v>1.2</v>
      </c>
      <c r="C178">
        <v>1</v>
      </c>
      <c r="D178">
        <v>1</v>
      </c>
      <c r="E178">
        <v>15</v>
      </c>
      <c r="F178" t="s">
        <v>85</v>
      </c>
    </row>
    <row r="179" spans="1:6" x14ac:dyDescent="0.2">
      <c r="A179" t="str">
        <f t="shared" si="2"/>
        <v>NGH15_20</v>
      </c>
      <c r="B179">
        <v>1.1000000000000001</v>
      </c>
      <c r="C179">
        <v>1</v>
      </c>
      <c r="D179">
        <v>1</v>
      </c>
      <c r="E179">
        <v>20</v>
      </c>
      <c r="F179" t="s">
        <v>85</v>
      </c>
    </row>
    <row r="180" spans="1:6" x14ac:dyDescent="0.2">
      <c r="A180" t="str">
        <f t="shared" si="2"/>
        <v>NGH15_25</v>
      </c>
      <c r="B180">
        <v>1</v>
      </c>
      <c r="C180">
        <v>1</v>
      </c>
      <c r="D180">
        <v>1</v>
      </c>
      <c r="E180">
        <v>25</v>
      </c>
      <c r="F180" t="s">
        <v>85</v>
      </c>
    </row>
    <row r="181" spans="1:6" x14ac:dyDescent="0.2">
      <c r="A181" t="str">
        <f t="shared" si="2"/>
        <v>NGH15_30</v>
      </c>
      <c r="B181">
        <v>0.94</v>
      </c>
      <c r="C181">
        <v>1</v>
      </c>
      <c r="D181">
        <v>1</v>
      </c>
      <c r="E181">
        <v>30</v>
      </c>
      <c r="F181" t="s">
        <v>85</v>
      </c>
    </row>
    <row r="182" spans="1:6" x14ac:dyDescent="0.2">
      <c r="A182" t="str">
        <f t="shared" si="2"/>
        <v>NGH15_35</v>
      </c>
      <c r="B182">
        <v>0.88</v>
      </c>
      <c r="C182">
        <v>1</v>
      </c>
      <c r="D182">
        <v>1</v>
      </c>
      <c r="E182">
        <v>35</v>
      </c>
      <c r="F182" t="s">
        <v>85</v>
      </c>
    </row>
    <row r="183" spans="1:6" x14ac:dyDescent="0.2">
      <c r="A183" t="str">
        <f t="shared" si="2"/>
        <v>NGH15_40</v>
      </c>
      <c r="B183">
        <v>0.82</v>
      </c>
      <c r="C183">
        <v>1</v>
      </c>
      <c r="D183">
        <v>1</v>
      </c>
      <c r="E183">
        <v>40</v>
      </c>
      <c r="F183" t="s">
        <v>85</v>
      </c>
    </row>
    <row r="184" spans="1:6" x14ac:dyDescent="0.2">
      <c r="A184" t="str">
        <f t="shared" si="2"/>
        <v>NGH15_45</v>
      </c>
      <c r="B184">
        <v>0.76</v>
      </c>
      <c r="C184">
        <v>1</v>
      </c>
      <c r="D184">
        <v>1</v>
      </c>
      <c r="E184">
        <v>45</v>
      </c>
      <c r="F184" t="s">
        <v>85</v>
      </c>
    </row>
    <row r="185" spans="1:6" x14ac:dyDescent="0.2">
      <c r="A185" t="str">
        <f t="shared" si="2"/>
        <v>NGH15_50</v>
      </c>
      <c r="B185">
        <v>0.7</v>
      </c>
      <c r="C185">
        <v>1</v>
      </c>
      <c r="D185">
        <v>1</v>
      </c>
      <c r="E185">
        <v>50</v>
      </c>
      <c r="F185" t="s">
        <v>85</v>
      </c>
    </row>
    <row r="186" spans="1:6" x14ac:dyDescent="0.2">
      <c r="A186" t="str">
        <f t="shared" si="2"/>
        <v>NGH15_55</v>
      </c>
      <c r="B186">
        <v>0.67</v>
      </c>
      <c r="C186">
        <v>1</v>
      </c>
      <c r="D186">
        <v>1</v>
      </c>
      <c r="E186">
        <v>55</v>
      </c>
      <c r="F186" t="s">
        <v>85</v>
      </c>
    </row>
    <row r="187" spans="1:6" x14ac:dyDescent="0.2">
      <c r="A187" t="str">
        <f t="shared" si="2"/>
        <v>NGH15_60</v>
      </c>
      <c r="B187">
        <v>0.64</v>
      </c>
      <c r="C187">
        <v>1</v>
      </c>
      <c r="D187">
        <v>1</v>
      </c>
      <c r="E187">
        <v>60</v>
      </c>
      <c r="F187" t="s">
        <v>85</v>
      </c>
    </row>
    <row r="188" spans="1:6" x14ac:dyDescent="0.2">
      <c r="A188" t="str">
        <f t="shared" si="2"/>
        <v>NGH15_65</v>
      </c>
      <c r="B188">
        <v>0.61</v>
      </c>
      <c r="C188">
        <v>1</v>
      </c>
      <c r="D188">
        <v>1</v>
      </c>
      <c r="E188">
        <v>65</v>
      </c>
      <c r="F188" t="s">
        <v>85</v>
      </c>
    </row>
    <row r="189" spans="1:6" x14ac:dyDescent="0.2">
      <c r="A189" t="str">
        <f t="shared" si="2"/>
        <v>NGH15_70</v>
      </c>
      <c r="B189">
        <v>0.57999999999999996</v>
      </c>
      <c r="C189">
        <v>1</v>
      </c>
      <c r="D189">
        <v>1</v>
      </c>
      <c r="E189">
        <v>70</v>
      </c>
      <c r="F189" t="s">
        <v>85</v>
      </c>
    </row>
    <row r="190" spans="1:6" x14ac:dyDescent="0.2">
      <c r="A190" t="str">
        <f t="shared" si="2"/>
        <v>NGH15_75</v>
      </c>
      <c r="B190">
        <v>0.55000000000000004</v>
      </c>
      <c r="C190">
        <v>1</v>
      </c>
      <c r="D190">
        <v>1</v>
      </c>
      <c r="E190">
        <v>75</v>
      </c>
      <c r="F190" t="s">
        <v>85</v>
      </c>
    </row>
    <row r="191" spans="1:6" x14ac:dyDescent="0.2">
      <c r="A191" t="str">
        <f t="shared" si="2"/>
        <v>NGH15_80</v>
      </c>
      <c r="B191">
        <v>0.52</v>
      </c>
      <c r="C191">
        <v>1</v>
      </c>
      <c r="D191">
        <v>1</v>
      </c>
      <c r="E191">
        <v>80</v>
      </c>
      <c r="F191" t="s">
        <v>85</v>
      </c>
    </row>
    <row r="192" spans="1:6" x14ac:dyDescent="0.2">
      <c r="A192" t="str">
        <f t="shared" si="2"/>
        <v>NGH15_85</v>
      </c>
      <c r="B192">
        <v>0.49</v>
      </c>
      <c r="C192">
        <v>1</v>
      </c>
      <c r="D192">
        <v>1</v>
      </c>
      <c r="E192">
        <v>85</v>
      </c>
      <c r="F192" t="s">
        <v>85</v>
      </c>
    </row>
    <row r="193" spans="1:6" x14ac:dyDescent="0.2">
      <c r="A193" t="str">
        <f t="shared" si="2"/>
        <v>NGH15_90</v>
      </c>
      <c r="B193">
        <v>0.46</v>
      </c>
      <c r="C193">
        <v>1</v>
      </c>
      <c r="D193">
        <v>1</v>
      </c>
      <c r="E193">
        <v>90</v>
      </c>
      <c r="F193" t="s">
        <v>85</v>
      </c>
    </row>
    <row r="194" spans="1:6" x14ac:dyDescent="0.2">
      <c r="A194" t="str">
        <f t="shared" si="2"/>
        <v>NGH15_95</v>
      </c>
      <c r="B194">
        <v>0.43</v>
      </c>
      <c r="C194">
        <v>1</v>
      </c>
      <c r="D194">
        <v>1</v>
      </c>
      <c r="E194">
        <v>95</v>
      </c>
      <c r="F194" t="s">
        <v>85</v>
      </c>
    </row>
    <row r="195" spans="1:6" x14ac:dyDescent="0.2">
      <c r="A195" t="str">
        <f t="shared" ref="A195:A258" si="3">IF(F195="","",CONCATENATE(F195,"_",E195))</f>
        <v>NGH15_100</v>
      </c>
      <c r="B195">
        <v>0.4</v>
      </c>
      <c r="C195">
        <v>1</v>
      </c>
      <c r="D195">
        <v>1</v>
      </c>
      <c r="E195">
        <v>100</v>
      </c>
      <c r="F195" t="s">
        <v>85</v>
      </c>
    </row>
    <row r="196" spans="1:6" x14ac:dyDescent="0.2">
      <c r="A196" t="str">
        <f t="shared" si="3"/>
        <v>NGH15_110</v>
      </c>
      <c r="B196">
        <v>0.4</v>
      </c>
      <c r="C196">
        <v>1</v>
      </c>
      <c r="D196">
        <v>0.75</v>
      </c>
      <c r="E196">
        <v>110</v>
      </c>
      <c r="F196" t="s">
        <v>85</v>
      </c>
    </row>
    <row r="197" spans="1:6" x14ac:dyDescent="0.2">
      <c r="A197" t="str">
        <f t="shared" si="3"/>
        <v>NGH15_120</v>
      </c>
      <c r="B197">
        <v>0.4</v>
      </c>
      <c r="C197">
        <v>1</v>
      </c>
      <c r="D197">
        <v>0.5</v>
      </c>
      <c r="E197">
        <v>120</v>
      </c>
      <c r="F197" t="s">
        <v>85</v>
      </c>
    </row>
    <row r="198" spans="1:6" x14ac:dyDescent="0.2">
      <c r="A198" t="str">
        <f t="shared" si="3"/>
        <v/>
      </c>
    </row>
    <row r="199" spans="1:6" x14ac:dyDescent="0.2">
      <c r="A199" t="str">
        <f t="shared" si="3"/>
        <v>NSC15_5</v>
      </c>
      <c r="B199" s="122">
        <v>1.4</v>
      </c>
      <c r="C199">
        <v>1</v>
      </c>
      <c r="D199">
        <v>1</v>
      </c>
      <c r="E199">
        <v>5</v>
      </c>
      <c r="F199" t="s">
        <v>86</v>
      </c>
    </row>
    <row r="200" spans="1:6" x14ac:dyDescent="0.2">
      <c r="A200" t="str">
        <f t="shared" si="3"/>
        <v>NSC15_10</v>
      </c>
      <c r="B200">
        <v>1.3</v>
      </c>
      <c r="C200">
        <v>1</v>
      </c>
      <c r="D200">
        <v>1</v>
      </c>
      <c r="E200">
        <v>10</v>
      </c>
      <c r="F200" t="s">
        <v>86</v>
      </c>
    </row>
    <row r="201" spans="1:6" x14ac:dyDescent="0.2">
      <c r="A201" t="str">
        <f t="shared" si="3"/>
        <v>NSC15_15</v>
      </c>
      <c r="B201">
        <v>1.2</v>
      </c>
      <c r="C201">
        <v>1</v>
      </c>
      <c r="D201">
        <v>1</v>
      </c>
      <c r="E201">
        <v>15</v>
      </c>
      <c r="F201" t="s">
        <v>86</v>
      </c>
    </row>
    <row r="202" spans="1:6" x14ac:dyDescent="0.2">
      <c r="A202" t="str">
        <f t="shared" si="3"/>
        <v>NSC15_20</v>
      </c>
      <c r="B202">
        <v>1.1000000000000001</v>
      </c>
      <c r="C202">
        <v>1</v>
      </c>
      <c r="D202">
        <v>1</v>
      </c>
      <c r="E202">
        <v>20</v>
      </c>
      <c r="F202" t="s">
        <v>86</v>
      </c>
    </row>
    <row r="203" spans="1:6" x14ac:dyDescent="0.2">
      <c r="A203" t="str">
        <f t="shared" si="3"/>
        <v>NSC15_25</v>
      </c>
      <c r="B203">
        <v>1</v>
      </c>
      <c r="C203">
        <v>1</v>
      </c>
      <c r="D203">
        <v>1</v>
      </c>
      <c r="E203">
        <v>25</v>
      </c>
      <c r="F203" t="s">
        <v>86</v>
      </c>
    </row>
    <row r="204" spans="1:6" x14ac:dyDescent="0.2">
      <c r="A204" t="str">
        <f t="shared" si="3"/>
        <v>NSC15_30</v>
      </c>
      <c r="B204">
        <v>0.94</v>
      </c>
      <c r="C204">
        <v>1</v>
      </c>
      <c r="D204">
        <v>1</v>
      </c>
      <c r="E204">
        <v>30</v>
      </c>
      <c r="F204" t="s">
        <v>86</v>
      </c>
    </row>
    <row r="205" spans="1:6" x14ac:dyDescent="0.2">
      <c r="A205" t="str">
        <f t="shared" si="3"/>
        <v>NSC15_35</v>
      </c>
      <c r="B205">
        <v>0.88</v>
      </c>
      <c r="C205">
        <v>1</v>
      </c>
      <c r="D205">
        <v>1</v>
      </c>
      <c r="E205">
        <v>35</v>
      </c>
      <c r="F205" t="s">
        <v>86</v>
      </c>
    </row>
    <row r="206" spans="1:6" x14ac:dyDescent="0.2">
      <c r="A206" t="str">
        <f t="shared" si="3"/>
        <v>NSC15_40</v>
      </c>
      <c r="B206">
        <v>0.82</v>
      </c>
      <c r="C206">
        <v>1</v>
      </c>
      <c r="D206">
        <v>1</v>
      </c>
      <c r="E206">
        <v>40</v>
      </c>
      <c r="F206" t="s">
        <v>86</v>
      </c>
    </row>
    <row r="207" spans="1:6" x14ac:dyDescent="0.2">
      <c r="A207" t="str">
        <f t="shared" si="3"/>
        <v>NSC15_45</v>
      </c>
      <c r="B207">
        <v>0.76</v>
      </c>
      <c r="C207">
        <v>1</v>
      </c>
      <c r="D207">
        <v>1</v>
      </c>
      <c r="E207">
        <v>45</v>
      </c>
      <c r="F207" t="s">
        <v>86</v>
      </c>
    </row>
    <row r="208" spans="1:6" x14ac:dyDescent="0.2">
      <c r="A208" t="str">
        <f t="shared" si="3"/>
        <v>NSC15_50</v>
      </c>
      <c r="B208">
        <v>0.7</v>
      </c>
      <c r="C208">
        <v>1</v>
      </c>
      <c r="D208">
        <v>1</v>
      </c>
      <c r="E208">
        <v>50</v>
      </c>
      <c r="F208" t="s">
        <v>86</v>
      </c>
    </row>
    <row r="209" spans="1:6" x14ac:dyDescent="0.2">
      <c r="A209" t="str">
        <f t="shared" si="3"/>
        <v>NSC15_55</v>
      </c>
      <c r="B209">
        <v>0.67</v>
      </c>
      <c r="C209">
        <v>1</v>
      </c>
      <c r="D209">
        <v>1</v>
      </c>
      <c r="E209">
        <v>55</v>
      </c>
      <c r="F209" t="s">
        <v>86</v>
      </c>
    </row>
    <row r="210" spans="1:6" x14ac:dyDescent="0.2">
      <c r="A210" t="str">
        <f t="shared" si="3"/>
        <v>NSC15_60</v>
      </c>
      <c r="B210">
        <v>0.64</v>
      </c>
      <c r="C210">
        <v>1</v>
      </c>
      <c r="D210">
        <v>1</v>
      </c>
      <c r="E210">
        <v>60</v>
      </c>
      <c r="F210" t="s">
        <v>86</v>
      </c>
    </row>
    <row r="211" spans="1:6" x14ac:dyDescent="0.2">
      <c r="A211" t="str">
        <f t="shared" si="3"/>
        <v>NSC15_65</v>
      </c>
      <c r="B211">
        <v>0.61</v>
      </c>
      <c r="C211">
        <v>1</v>
      </c>
      <c r="D211">
        <v>1</v>
      </c>
      <c r="E211">
        <v>65</v>
      </c>
      <c r="F211" t="s">
        <v>86</v>
      </c>
    </row>
    <row r="212" spans="1:6" x14ac:dyDescent="0.2">
      <c r="A212" t="str">
        <f t="shared" si="3"/>
        <v>NSC15_70</v>
      </c>
      <c r="B212">
        <v>0.57999999999999996</v>
      </c>
      <c r="C212">
        <v>1</v>
      </c>
      <c r="D212">
        <v>1</v>
      </c>
      <c r="E212">
        <v>70</v>
      </c>
      <c r="F212" t="s">
        <v>86</v>
      </c>
    </row>
    <row r="213" spans="1:6" x14ac:dyDescent="0.2">
      <c r="A213" t="str">
        <f t="shared" si="3"/>
        <v>NSC15_75</v>
      </c>
      <c r="B213">
        <v>0.55000000000000004</v>
      </c>
      <c r="C213">
        <v>1</v>
      </c>
      <c r="D213">
        <v>1</v>
      </c>
      <c r="E213">
        <v>75</v>
      </c>
      <c r="F213" t="s">
        <v>86</v>
      </c>
    </row>
    <row r="214" spans="1:6" x14ac:dyDescent="0.2">
      <c r="A214" t="str">
        <f t="shared" si="3"/>
        <v>NSC15_80</v>
      </c>
      <c r="B214">
        <v>0.52</v>
      </c>
      <c r="C214">
        <v>1</v>
      </c>
      <c r="D214">
        <v>1</v>
      </c>
      <c r="E214">
        <v>80</v>
      </c>
      <c r="F214" t="s">
        <v>86</v>
      </c>
    </row>
    <row r="215" spans="1:6" x14ac:dyDescent="0.2">
      <c r="A215" t="str">
        <f t="shared" si="3"/>
        <v>NSC15_85</v>
      </c>
      <c r="B215">
        <v>0.49</v>
      </c>
      <c r="C215">
        <v>1</v>
      </c>
      <c r="D215">
        <v>1</v>
      </c>
      <c r="E215">
        <v>85</v>
      </c>
      <c r="F215" t="s">
        <v>86</v>
      </c>
    </row>
    <row r="216" spans="1:6" x14ac:dyDescent="0.2">
      <c r="A216" t="str">
        <f t="shared" si="3"/>
        <v>NSC15_90</v>
      </c>
      <c r="B216">
        <v>0.46</v>
      </c>
      <c r="C216">
        <v>1</v>
      </c>
      <c r="D216">
        <v>1</v>
      </c>
      <c r="E216">
        <v>90</v>
      </c>
      <c r="F216" t="s">
        <v>86</v>
      </c>
    </row>
    <row r="217" spans="1:6" x14ac:dyDescent="0.2">
      <c r="A217" t="str">
        <f t="shared" si="3"/>
        <v>NSC15_95</v>
      </c>
      <c r="B217">
        <v>0.43</v>
      </c>
      <c r="C217">
        <v>1</v>
      </c>
      <c r="D217">
        <v>1</v>
      </c>
      <c r="E217">
        <v>95</v>
      </c>
      <c r="F217" t="s">
        <v>86</v>
      </c>
    </row>
    <row r="218" spans="1:6" x14ac:dyDescent="0.2">
      <c r="A218" t="str">
        <f t="shared" si="3"/>
        <v>NSC15_100</v>
      </c>
      <c r="B218">
        <v>0.4</v>
      </c>
      <c r="C218">
        <v>1</v>
      </c>
      <c r="D218">
        <v>1</v>
      </c>
      <c r="E218">
        <v>100</v>
      </c>
      <c r="F218" t="s">
        <v>86</v>
      </c>
    </row>
    <row r="219" spans="1:6" x14ac:dyDescent="0.2">
      <c r="A219" t="str">
        <f t="shared" si="3"/>
        <v>NSC15_110</v>
      </c>
      <c r="B219">
        <v>0.4</v>
      </c>
      <c r="C219">
        <v>1</v>
      </c>
      <c r="D219">
        <v>0.75</v>
      </c>
      <c r="E219">
        <v>110</v>
      </c>
      <c r="F219" t="s">
        <v>86</v>
      </c>
    </row>
    <row r="220" spans="1:6" x14ac:dyDescent="0.2">
      <c r="A220" t="str">
        <f t="shared" si="3"/>
        <v>NSC15_120</v>
      </c>
      <c r="B220">
        <v>0.4</v>
      </c>
      <c r="C220">
        <v>1</v>
      </c>
      <c r="D220">
        <v>0.5</v>
      </c>
      <c r="E220">
        <v>120</v>
      </c>
      <c r="F220" t="s">
        <v>86</v>
      </c>
    </row>
    <row r="221" spans="1:6" x14ac:dyDescent="0.2">
      <c r="A221" t="str">
        <f t="shared" si="3"/>
        <v/>
      </c>
    </row>
    <row r="222" spans="1:6" x14ac:dyDescent="0.2">
      <c r="A222" t="str">
        <f t="shared" si="3"/>
        <v>NVM15_5</v>
      </c>
      <c r="B222" s="122">
        <v>1.4</v>
      </c>
      <c r="C222">
        <v>1</v>
      </c>
      <c r="D222">
        <v>1</v>
      </c>
      <c r="E222">
        <v>5</v>
      </c>
      <c r="F222" t="s">
        <v>87</v>
      </c>
    </row>
    <row r="223" spans="1:6" x14ac:dyDescent="0.2">
      <c r="A223" t="str">
        <f t="shared" si="3"/>
        <v>NVM15_10</v>
      </c>
      <c r="B223">
        <v>1.3</v>
      </c>
      <c r="C223">
        <v>1</v>
      </c>
      <c r="D223">
        <v>1</v>
      </c>
      <c r="E223">
        <v>10</v>
      </c>
      <c r="F223" t="s">
        <v>87</v>
      </c>
    </row>
    <row r="224" spans="1:6" x14ac:dyDescent="0.2">
      <c r="A224" t="str">
        <f t="shared" si="3"/>
        <v>NVM15_15</v>
      </c>
      <c r="B224">
        <v>1.2</v>
      </c>
      <c r="C224">
        <v>1</v>
      </c>
      <c r="D224">
        <v>1</v>
      </c>
      <c r="E224">
        <v>15</v>
      </c>
      <c r="F224" t="s">
        <v>87</v>
      </c>
    </row>
    <row r="225" spans="1:6" x14ac:dyDescent="0.2">
      <c r="A225" t="str">
        <f t="shared" si="3"/>
        <v>NVM15_20</v>
      </c>
      <c r="B225">
        <v>1.1000000000000001</v>
      </c>
      <c r="C225">
        <v>1</v>
      </c>
      <c r="D225">
        <v>1</v>
      </c>
      <c r="E225">
        <v>20</v>
      </c>
      <c r="F225" t="s">
        <v>87</v>
      </c>
    </row>
    <row r="226" spans="1:6" x14ac:dyDescent="0.2">
      <c r="A226" t="str">
        <f t="shared" si="3"/>
        <v>NVM15_25</v>
      </c>
      <c r="B226">
        <v>1</v>
      </c>
      <c r="C226">
        <v>1</v>
      </c>
      <c r="D226">
        <v>1</v>
      </c>
      <c r="E226">
        <v>25</v>
      </c>
      <c r="F226" t="s">
        <v>87</v>
      </c>
    </row>
    <row r="227" spans="1:6" x14ac:dyDescent="0.2">
      <c r="A227" t="str">
        <f t="shared" si="3"/>
        <v>NVM15_30</v>
      </c>
      <c r="B227">
        <v>0.94</v>
      </c>
      <c r="C227">
        <v>1</v>
      </c>
      <c r="D227">
        <v>1</v>
      </c>
      <c r="E227">
        <v>30</v>
      </c>
      <c r="F227" t="s">
        <v>87</v>
      </c>
    </row>
    <row r="228" spans="1:6" x14ac:dyDescent="0.2">
      <c r="A228" t="str">
        <f t="shared" si="3"/>
        <v>NVM15_35</v>
      </c>
      <c r="B228">
        <v>0.88</v>
      </c>
      <c r="C228">
        <v>1</v>
      </c>
      <c r="D228">
        <v>1</v>
      </c>
      <c r="E228">
        <v>35</v>
      </c>
      <c r="F228" t="s">
        <v>87</v>
      </c>
    </row>
    <row r="229" spans="1:6" x14ac:dyDescent="0.2">
      <c r="A229" t="str">
        <f t="shared" si="3"/>
        <v>NVM15_40</v>
      </c>
      <c r="B229">
        <v>0.82</v>
      </c>
      <c r="C229">
        <v>1</v>
      </c>
      <c r="D229">
        <v>1</v>
      </c>
      <c r="E229">
        <v>40</v>
      </c>
      <c r="F229" t="s">
        <v>87</v>
      </c>
    </row>
    <row r="230" spans="1:6" x14ac:dyDescent="0.2">
      <c r="A230" t="str">
        <f t="shared" si="3"/>
        <v>NVM15_45</v>
      </c>
      <c r="B230">
        <v>0.76</v>
      </c>
      <c r="C230">
        <v>1</v>
      </c>
      <c r="D230">
        <v>1</v>
      </c>
      <c r="E230">
        <v>45</v>
      </c>
      <c r="F230" t="s">
        <v>87</v>
      </c>
    </row>
    <row r="231" spans="1:6" x14ac:dyDescent="0.2">
      <c r="A231" t="str">
        <f t="shared" si="3"/>
        <v>NVM15_50</v>
      </c>
      <c r="B231">
        <v>0.7</v>
      </c>
      <c r="C231">
        <v>1</v>
      </c>
      <c r="D231">
        <v>1</v>
      </c>
      <c r="E231">
        <v>50</v>
      </c>
      <c r="F231" t="s">
        <v>87</v>
      </c>
    </row>
    <row r="232" spans="1:6" x14ac:dyDescent="0.2">
      <c r="A232" t="str">
        <f t="shared" si="3"/>
        <v>NVM15_55</v>
      </c>
      <c r="B232">
        <v>0.67</v>
      </c>
      <c r="C232">
        <v>1</v>
      </c>
      <c r="D232">
        <v>1</v>
      </c>
      <c r="E232">
        <v>55</v>
      </c>
      <c r="F232" t="s">
        <v>87</v>
      </c>
    </row>
    <row r="233" spans="1:6" x14ac:dyDescent="0.2">
      <c r="A233" t="str">
        <f t="shared" si="3"/>
        <v>NVM15_60</v>
      </c>
      <c r="B233">
        <v>0.64</v>
      </c>
      <c r="C233">
        <v>1</v>
      </c>
      <c r="D233">
        <v>1</v>
      </c>
      <c r="E233">
        <v>60</v>
      </c>
      <c r="F233" t="s">
        <v>87</v>
      </c>
    </row>
    <row r="234" spans="1:6" x14ac:dyDescent="0.2">
      <c r="A234" t="str">
        <f t="shared" si="3"/>
        <v>NVM15_65</v>
      </c>
      <c r="B234">
        <v>0.61</v>
      </c>
      <c r="C234">
        <v>1</v>
      </c>
      <c r="D234">
        <v>1</v>
      </c>
      <c r="E234">
        <v>65</v>
      </c>
      <c r="F234" t="s">
        <v>87</v>
      </c>
    </row>
    <row r="235" spans="1:6" x14ac:dyDescent="0.2">
      <c r="A235" t="str">
        <f t="shared" si="3"/>
        <v>NVM15_70</v>
      </c>
      <c r="B235">
        <v>0.57999999999999996</v>
      </c>
      <c r="C235">
        <v>1</v>
      </c>
      <c r="D235">
        <v>1</v>
      </c>
      <c r="E235">
        <v>70</v>
      </c>
      <c r="F235" t="s">
        <v>87</v>
      </c>
    </row>
    <row r="236" spans="1:6" x14ac:dyDescent="0.2">
      <c r="A236" t="str">
        <f t="shared" si="3"/>
        <v>NVM15_75</v>
      </c>
      <c r="B236">
        <v>0.55000000000000004</v>
      </c>
      <c r="C236">
        <v>1</v>
      </c>
      <c r="D236">
        <v>1</v>
      </c>
      <c r="E236">
        <v>75</v>
      </c>
      <c r="F236" t="s">
        <v>87</v>
      </c>
    </row>
    <row r="237" spans="1:6" x14ac:dyDescent="0.2">
      <c r="A237" t="str">
        <f t="shared" si="3"/>
        <v>NVM15_80</v>
      </c>
      <c r="B237">
        <v>0.52</v>
      </c>
      <c r="C237">
        <v>1</v>
      </c>
      <c r="D237">
        <v>1</v>
      </c>
      <c r="E237">
        <v>80</v>
      </c>
      <c r="F237" t="s">
        <v>87</v>
      </c>
    </row>
    <row r="238" spans="1:6" x14ac:dyDescent="0.2">
      <c r="A238" t="str">
        <f t="shared" si="3"/>
        <v>NVM15_85</v>
      </c>
      <c r="B238">
        <v>0.49</v>
      </c>
      <c r="C238">
        <v>1</v>
      </c>
      <c r="D238">
        <v>1</v>
      </c>
      <c r="E238">
        <v>85</v>
      </c>
      <c r="F238" t="s">
        <v>87</v>
      </c>
    </row>
    <row r="239" spans="1:6" x14ac:dyDescent="0.2">
      <c r="A239" t="str">
        <f t="shared" si="3"/>
        <v>NVM15_90</v>
      </c>
      <c r="B239">
        <v>0.46</v>
      </c>
      <c r="C239">
        <v>1</v>
      </c>
      <c r="D239">
        <v>1</v>
      </c>
      <c r="E239">
        <v>90</v>
      </c>
      <c r="F239" t="s">
        <v>87</v>
      </c>
    </row>
    <row r="240" spans="1:6" x14ac:dyDescent="0.2">
      <c r="A240" t="str">
        <f t="shared" si="3"/>
        <v>NVM15_95</v>
      </c>
      <c r="B240">
        <v>0.43</v>
      </c>
      <c r="C240">
        <v>1</v>
      </c>
      <c r="D240">
        <v>1</v>
      </c>
      <c r="E240">
        <v>95</v>
      </c>
      <c r="F240" t="s">
        <v>87</v>
      </c>
    </row>
    <row r="241" spans="1:6" x14ac:dyDescent="0.2">
      <c r="A241" t="str">
        <f t="shared" si="3"/>
        <v>NVM15_100</v>
      </c>
      <c r="B241">
        <v>0.4</v>
      </c>
      <c r="C241">
        <v>1</v>
      </c>
      <c r="D241">
        <v>1</v>
      </c>
      <c r="E241">
        <v>100</v>
      </c>
      <c r="F241" t="s">
        <v>87</v>
      </c>
    </row>
    <row r="242" spans="1:6" x14ac:dyDescent="0.2">
      <c r="A242" t="str">
        <f t="shared" si="3"/>
        <v>NVM15_110</v>
      </c>
      <c r="B242">
        <v>0.4</v>
      </c>
      <c r="C242">
        <v>1</v>
      </c>
      <c r="D242">
        <v>0.75</v>
      </c>
      <c r="E242">
        <v>110</v>
      </c>
      <c r="F242" t="s">
        <v>87</v>
      </c>
    </row>
    <row r="243" spans="1:6" x14ac:dyDescent="0.2">
      <c r="A243" t="str">
        <f t="shared" si="3"/>
        <v>NVM15_120</v>
      </c>
      <c r="B243">
        <v>0.4</v>
      </c>
      <c r="C243">
        <v>1</v>
      </c>
      <c r="D243">
        <v>0.5</v>
      </c>
      <c r="E243">
        <v>120</v>
      </c>
      <c r="F243" t="s">
        <v>87</v>
      </c>
    </row>
    <row r="244" spans="1:6" x14ac:dyDescent="0.2">
      <c r="A244" t="str">
        <f t="shared" si="3"/>
        <v/>
      </c>
    </row>
    <row r="245" spans="1:6" x14ac:dyDescent="0.2">
      <c r="A245" t="str">
        <f t="shared" si="3"/>
        <v>NHA13_Typ4_5</v>
      </c>
      <c r="B245" s="122">
        <v>1.4</v>
      </c>
      <c r="C245">
        <v>1</v>
      </c>
      <c r="D245">
        <v>1</v>
      </c>
      <c r="E245">
        <v>5</v>
      </c>
      <c r="F245" t="s">
        <v>88</v>
      </c>
    </row>
    <row r="246" spans="1:6" x14ac:dyDescent="0.2">
      <c r="A246" t="str">
        <f t="shared" si="3"/>
        <v>NHA13_Typ4_10</v>
      </c>
      <c r="B246">
        <v>1.3</v>
      </c>
      <c r="C246">
        <v>1</v>
      </c>
      <c r="D246">
        <v>1</v>
      </c>
      <c r="E246">
        <v>10</v>
      </c>
      <c r="F246" t="s">
        <v>88</v>
      </c>
    </row>
    <row r="247" spans="1:6" x14ac:dyDescent="0.2">
      <c r="A247" t="str">
        <f t="shared" si="3"/>
        <v>NHA13_Typ4_15</v>
      </c>
      <c r="B247">
        <v>1.2</v>
      </c>
      <c r="C247">
        <v>1</v>
      </c>
      <c r="D247">
        <v>1</v>
      </c>
      <c r="E247">
        <v>15</v>
      </c>
      <c r="F247" t="s">
        <v>88</v>
      </c>
    </row>
    <row r="248" spans="1:6" x14ac:dyDescent="0.2">
      <c r="A248" t="str">
        <f t="shared" si="3"/>
        <v>NHA13_Typ4_20</v>
      </c>
      <c r="B248">
        <v>1.1000000000000001</v>
      </c>
      <c r="C248">
        <v>1</v>
      </c>
      <c r="D248">
        <v>1</v>
      </c>
      <c r="E248">
        <v>20</v>
      </c>
      <c r="F248" t="s">
        <v>88</v>
      </c>
    </row>
    <row r="249" spans="1:6" x14ac:dyDescent="0.2">
      <c r="A249" t="str">
        <f t="shared" si="3"/>
        <v>NHA13_Typ4_25</v>
      </c>
      <c r="B249">
        <v>1</v>
      </c>
      <c r="C249">
        <v>1</v>
      </c>
      <c r="D249">
        <v>1</v>
      </c>
      <c r="E249">
        <v>25</v>
      </c>
      <c r="F249" t="s">
        <v>88</v>
      </c>
    </row>
    <row r="250" spans="1:6" x14ac:dyDescent="0.2">
      <c r="A250" t="str">
        <f t="shared" si="3"/>
        <v>NHA13_Typ4_30</v>
      </c>
      <c r="B250">
        <v>0.94</v>
      </c>
      <c r="C250">
        <v>1</v>
      </c>
      <c r="D250">
        <v>1</v>
      </c>
      <c r="E250">
        <v>30</v>
      </c>
      <c r="F250" t="s">
        <v>88</v>
      </c>
    </row>
    <row r="251" spans="1:6" x14ac:dyDescent="0.2">
      <c r="A251" t="str">
        <f t="shared" si="3"/>
        <v>NHA13_Typ4_35</v>
      </c>
      <c r="B251">
        <v>0.88</v>
      </c>
      <c r="C251">
        <v>1</v>
      </c>
      <c r="D251">
        <v>1</v>
      </c>
      <c r="E251">
        <v>35</v>
      </c>
      <c r="F251" t="s">
        <v>88</v>
      </c>
    </row>
    <row r="252" spans="1:6" x14ac:dyDescent="0.2">
      <c r="A252" t="str">
        <f t="shared" si="3"/>
        <v>NHA13_Typ4_40</v>
      </c>
      <c r="B252">
        <v>0.82</v>
      </c>
      <c r="C252">
        <v>1</v>
      </c>
      <c r="D252">
        <v>1</v>
      </c>
      <c r="E252">
        <v>40</v>
      </c>
      <c r="F252" t="s">
        <v>88</v>
      </c>
    </row>
    <row r="253" spans="1:6" x14ac:dyDescent="0.2">
      <c r="A253" t="str">
        <f t="shared" si="3"/>
        <v>NHA13_Typ4_45</v>
      </c>
      <c r="B253">
        <v>0.76</v>
      </c>
      <c r="C253">
        <v>1</v>
      </c>
      <c r="D253">
        <v>1</v>
      </c>
      <c r="E253">
        <v>45</v>
      </c>
      <c r="F253" t="s">
        <v>88</v>
      </c>
    </row>
    <row r="254" spans="1:6" x14ac:dyDescent="0.2">
      <c r="A254" t="str">
        <f t="shared" si="3"/>
        <v>NHA13_Typ4_50</v>
      </c>
      <c r="B254">
        <v>0.7</v>
      </c>
      <c r="C254">
        <v>1</v>
      </c>
      <c r="D254">
        <v>1</v>
      </c>
      <c r="E254">
        <v>50</v>
      </c>
      <c r="F254" t="s">
        <v>88</v>
      </c>
    </row>
    <row r="255" spans="1:6" x14ac:dyDescent="0.2">
      <c r="A255" t="str">
        <f t="shared" si="3"/>
        <v>NHA13_Typ4_55</v>
      </c>
      <c r="B255">
        <v>0.67</v>
      </c>
      <c r="C255">
        <v>1</v>
      </c>
      <c r="D255">
        <v>1</v>
      </c>
      <c r="E255">
        <v>55</v>
      </c>
      <c r="F255" t="s">
        <v>88</v>
      </c>
    </row>
    <row r="256" spans="1:6" x14ac:dyDescent="0.2">
      <c r="A256" t="str">
        <f t="shared" si="3"/>
        <v>NHA13_Typ4_60</v>
      </c>
      <c r="B256">
        <v>0.64</v>
      </c>
      <c r="C256">
        <v>1</v>
      </c>
      <c r="D256">
        <v>1</v>
      </c>
      <c r="E256">
        <v>60</v>
      </c>
      <c r="F256" t="s">
        <v>88</v>
      </c>
    </row>
    <row r="257" spans="1:6" x14ac:dyDescent="0.2">
      <c r="A257" t="str">
        <f t="shared" si="3"/>
        <v>NHA13_Typ4_65</v>
      </c>
      <c r="B257">
        <v>0.61</v>
      </c>
      <c r="C257">
        <v>1</v>
      </c>
      <c r="D257">
        <v>1</v>
      </c>
      <c r="E257">
        <v>65</v>
      </c>
      <c r="F257" t="s">
        <v>88</v>
      </c>
    </row>
    <row r="258" spans="1:6" x14ac:dyDescent="0.2">
      <c r="A258" t="str">
        <f t="shared" si="3"/>
        <v>NHA13_Typ4_70</v>
      </c>
      <c r="B258">
        <v>0.57999999999999996</v>
      </c>
      <c r="C258">
        <v>1</v>
      </c>
      <c r="D258">
        <v>1</v>
      </c>
      <c r="E258">
        <v>70</v>
      </c>
      <c r="F258" t="s">
        <v>88</v>
      </c>
    </row>
    <row r="259" spans="1:6" x14ac:dyDescent="0.2">
      <c r="A259" t="str">
        <f t="shared" ref="A259:A322" si="4">IF(F259="","",CONCATENATE(F259,"_",E259))</f>
        <v>NHA13_Typ4_75</v>
      </c>
      <c r="B259">
        <v>0.55000000000000004</v>
      </c>
      <c r="C259">
        <v>1</v>
      </c>
      <c r="D259">
        <v>1</v>
      </c>
      <c r="E259">
        <v>75</v>
      </c>
      <c r="F259" t="s">
        <v>88</v>
      </c>
    </row>
    <row r="260" spans="1:6" x14ac:dyDescent="0.2">
      <c r="A260" t="str">
        <f t="shared" si="4"/>
        <v>NHA13_Typ4_80</v>
      </c>
      <c r="B260">
        <v>0.52</v>
      </c>
      <c r="C260">
        <v>1</v>
      </c>
      <c r="D260">
        <v>1</v>
      </c>
      <c r="E260">
        <v>80</v>
      </c>
      <c r="F260" t="s">
        <v>88</v>
      </c>
    </row>
    <row r="261" spans="1:6" x14ac:dyDescent="0.2">
      <c r="A261" t="str">
        <f t="shared" si="4"/>
        <v>NHA13_Typ4_85</v>
      </c>
      <c r="B261">
        <v>0.49</v>
      </c>
      <c r="C261">
        <v>1</v>
      </c>
      <c r="D261">
        <v>1</v>
      </c>
      <c r="E261">
        <v>85</v>
      </c>
      <c r="F261" t="s">
        <v>88</v>
      </c>
    </row>
    <row r="262" spans="1:6" x14ac:dyDescent="0.2">
      <c r="A262" t="str">
        <f t="shared" si="4"/>
        <v>NHA13_Typ4_90</v>
      </c>
      <c r="B262">
        <v>0.46</v>
      </c>
      <c r="C262">
        <v>1</v>
      </c>
      <c r="D262">
        <v>1</v>
      </c>
      <c r="E262">
        <v>90</v>
      </c>
      <c r="F262" t="s">
        <v>88</v>
      </c>
    </row>
    <row r="263" spans="1:6" x14ac:dyDescent="0.2">
      <c r="A263" t="str">
        <f t="shared" si="4"/>
        <v>NHA13_Typ4_95</v>
      </c>
      <c r="B263">
        <v>0.43</v>
      </c>
      <c r="C263">
        <v>1</v>
      </c>
      <c r="D263">
        <v>1</v>
      </c>
      <c r="E263">
        <v>95</v>
      </c>
      <c r="F263" t="s">
        <v>88</v>
      </c>
    </row>
    <row r="264" spans="1:6" x14ac:dyDescent="0.2">
      <c r="A264" t="str">
        <f t="shared" si="4"/>
        <v>NHA13_Typ4_100</v>
      </c>
      <c r="B264">
        <v>0.4</v>
      </c>
      <c r="C264">
        <v>1</v>
      </c>
      <c r="D264">
        <v>1</v>
      </c>
      <c r="E264">
        <v>100</v>
      </c>
      <c r="F264" t="s">
        <v>88</v>
      </c>
    </row>
    <row r="265" spans="1:6" x14ac:dyDescent="0.2">
      <c r="A265" t="str">
        <f t="shared" si="4"/>
        <v/>
      </c>
    </row>
    <row r="266" spans="1:6" x14ac:dyDescent="0.2">
      <c r="A266" t="str">
        <f t="shared" si="4"/>
        <v>NHA12_Typ2_U_5</v>
      </c>
      <c r="B266" s="122">
        <v>1.4</v>
      </c>
      <c r="C266">
        <v>1</v>
      </c>
      <c r="D266">
        <v>1</v>
      </c>
      <c r="E266">
        <v>5</v>
      </c>
      <c r="F266" t="s">
        <v>89</v>
      </c>
    </row>
    <row r="267" spans="1:6" x14ac:dyDescent="0.2">
      <c r="A267" t="str">
        <f t="shared" si="4"/>
        <v>NHA12_Typ2_U_10</v>
      </c>
      <c r="B267">
        <v>1.3</v>
      </c>
      <c r="C267">
        <v>1</v>
      </c>
      <c r="D267">
        <v>1</v>
      </c>
      <c r="E267">
        <v>10</v>
      </c>
      <c r="F267" t="s">
        <v>89</v>
      </c>
    </row>
    <row r="268" spans="1:6" x14ac:dyDescent="0.2">
      <c r="A268" t="str">
        <f t="shared" si="4"/>
        <v>NHA12_Typ2_U_15</v>
      </c>
      <c r="B268">
        <v>1.2</v>
      </c>
      <c r="C268">
        <v>1</v>
      </c>
      <c r="D268">
        <v>1</v>
      </c>
      <c r="E268">
        <v>15</v>
      </c>
      <c r="F268" t="s">
        <v>89</v>
      </c>
    </row>
    <row r="269" spans="1:6" x14ac:dyDescent="0.2">
      <c r="A269" t="str">
        <f t="shared" si="4"/>
        <v>NHA12_Typ2_U_20</v>
      </c>
      <c r="B269">
        <v>1.1000000000000001</v>
      </c>
      <c r="C269">
        <v>1</v>
      </c>
      <c r="D269">
        <v>1</v>
      </c>
      <c r="E269">
        <v>20</v>
      </c>
      <c r="F269" t="s">
        <v>89</v>
      </c>
    </row>
    <row r="270" spans="1:6" x14ac:dyDescent="0.2">
      <c r="A270" t="str">
        <f t="shared" si="4"/>
        <v>NHA12_Typ2_U_25</v>
      </c>
      <c r="B270">
        <v>1</v>
      </c>
      <c r="C270">
        <v>1</v>
      </c>
      <c r="D270">
        <v>1</v>
      </c>
      <c r="E270">
        <v>25</v>
      </c>
      <c r="F270" t="s">
        <v>89</v>
      </c>
    </row>
    <row r="271" spans="1:6" x14ac:dyDescent="0.2">
      <c r="A271" t="str">
        <f t="shared" si="4"/>
        <v>NHA12_Typ2_U_30</v>
      </c>
      <c r="B271">
        <v>0.94</v>
      </c>
      <c r="C271">
        <v>1</v>
      </c>
      <c r="D271">
        <v>1</v>
      </c>
      <c r="E271">
        <v>30</v>
      </c>
      <c r="F271" t="s">
        <v>89</v>
      </c>
    </row>
    <row r="272" spans="1:6" x14ac:dyDescent="0.2">
      <c r="A272" t="str">
        <f t="shared" si="4"/>
        <v>NHA12_Typ2_U_35</v>
      </c>
      <c r="B272">
        <v>0.88</v>
      </c>
      <c r="C272">
        <v>1</v>
      </c>
      <c r="D272">
        <v>1</v>
      </c>
      <c r="E272">
        <v>35</v>
      </c>
      <c r="F272" t="s">
        <v>89</v>
      </c>
    </row>
    <row r="273" spans="1:6" x14ac:dyDescent="0.2">
      <c r="A273" t="str">
        <f t="shared" si="4"/>
        <v>NHA12_Typ2_U_40</v>
      </c>
      <c r="B273">
        <v>0.82</v>
      </c>
      <c r="C273">
        <v>1</v>
      </c>
      <c r="D273">
        <v>1</v>
      </c>
      <c r="E273">
        <v>40</v>
      </c>
      <c r="F273" t="s">
        <v>89</v>
      </c>
    </row>
    <row r="274" spans="1:6" x14ac:dyDescent="0.2">
      <c r="A274" t="str">
        <f t="shared" si="4"/>
        <v>NHA12_Typ2_U_45</v>
      </c>
      <c r="B274">
        <v>0.76</v>
      </c>
      <c r="C274">
        <v>1</v>
      </c>
      <c r="D274">
        <v>1</v>
      </c>
      <c r="E274">
        <v>45</v>
      </c>
      <c r="F274" t="s">
        <v>89</v>
      </c>
    </row>
    <row r="275" spans="1:6" x14ac:dyDescent="0.2">
      <c r="A275" t="str">
        <f t="shared" si="4"/>
        <v>NHA12_Typ2_U_50</v>
      </c>
      <c r="B275">
        <v>0.7</v>
      </c>
      <c r="C275">
        <v>1</v>
      </c>
      <c r="D275">
        <v>1</v>
      </c>
      <c r="E275">
        <v>50</v>
      </c>
      <c r="F275" t="s">
        <v>89</v>
      </c>
    </row>
    <row r="276" spans="1:6" x14ac:dyDescent="0.2">
      <c r="A276" t="str">
        <f t="shared" si="4"/>
        <v>NHA12_Typ2_U_55</v>
      </c>
      <c r="B276">
        <v>0.67</v>
      </c>
      <c r="C276">
        <v>1</v>
      </c>
      <c r="D276">
        <v>1</v>
      </c>
      <c r="E276">
        <v>55</v>
      </c>
      <c r="F276" t="s">
        <v>89</v>
      </c>
    </row>
    <row r="277" spans="1:6" x14ac:dyDescent="0.2">
      <c r="A277" t="str">
        <f t="shared" si="4"/>
        <v>NHA12_Typ2_U_60</v>
      </c>
      <c r="B277">
        <v>0.64</v>
      </c>
      <c r="C277">
        <v>1</v>
      </c>
      <c r="D277">
        <v>1</v>
      </c>
      <c r="E277">
        <v>60</v>
      </c>
      <c r="F277" t="s">
        <v>89</v>
      </c>
    </row>
    <row r="278" spans="1:6" x14ac:dyDescent="0.2">
      <c r="A278" t="str">
        <f t="shared" si="4"/>
        <v>NHA12_Typ2_U_65</v>
      </c>
      <c r="B278">
        <v>0.61</v>
      </c>
      <c r="C278">
        <v>1</v>
      </c>
      <c r="D278">
        <v>1</v>
      </c>
      <c r="E278">
        <v>65</v>
      </c>
      <c r="F278" t="s">
        <v>89</v>
      </c>
    </row>
    <row r="279" spans="1:6" x14ac:dyDescent="0.2">
      <c r="A279" t="str">
        <f t="shared" si="4"/>
        <v>NHA12_Typ2_U_70</v>
      </c>
      <c r="B279">
        <v>0.57999999999999996</v>
      </c>
      <c r="C279">
        <v>1</v>
      </c>
      <c r="D279">
        <v>1</v>
      </c>
      <c r="E279">
        <v>70</v>
      </c>
      <c r="F279" t="s">
        <v>89</v>
      </c>
    </row>
    <row r="280" spans="1:6" x14ac:dyDescent="0.2">
      <c r="A280" t="str">
        <f t="shared" si="4"/>
        <v>NHA12_Typ2_U_75</v>
      </c>
      <c r="B280">
        <v>0.55000000000000004</v>
      </c>
      <c r="C280">
        <v>1</v>
      </c>
      <c r="D280">
        <v>1</v>
      </c>
      <c r="E280">
        <v>75</v>
      </c>
      <c r="F280" t="s">
        <v>89</v>
      </c>
    </row>
    <row r="281" spans="1:6" x14ac:dyDescent="0.2">
      <c r="A281" t="str">
        <f t="shared" si="4"/>
        <v>NHA12_Typ2_U_80</v>
      </c>
      <c r="B281">
        <v>0.52</v>
      </c>
      <c r="C281">
        <v>1</v>
      </c>
      <c r="D281">
        <v>1</v>
      </c>
      <c r="E281">
        <v>80</v>
      </c>
      <c r="F281" t="s">
        <v>89</v>
      </c>
    </row>
    <row r="282" spans="1:6" x14ac:dyDescent="0.2">
      <c r="A282" t="str">
        <f t="shared" si="4"/>
        <v>NHA12_Typ2_U_85</v>
      </c>
      <c r="B282">
        <v>0.49</v>
      </c>
      <c r="C282">
        <v>1</v>
      </c>
      <c r="D282">
        <v>1</v>
      </c>
      <c r="E282">
        <v>85</v>
      </c>
      <c r="F282" t="s">
        <v>89</v>
      </c>
    </row>
    <row r="283" spans="1:6" x14ac:dyDescent="0.2">
      <c r="A283" t="str">
        <f t="shared" si="4"/>
        <v>NHA12_Typ2_U_90</v>
      </c>
      <c r="B283">
        <v>0.46</v>
      </c>
      <c r="C283">
        <v>1</v>
      </c>
      <c r="D283">
        <v>1</v>
      </c>
      <c r="E283">
        <v>90</v>
      </c>
      <c r="F283" t="s">
        <v>89</v>
      </c>
    </row>
    <row r="284" spans="1:6" x14ac:dyDescent="0.2">
      <c r="A284" t="str">
        <f t="shared" si="4"/>
        <v>NHA12_Typ2_U_95</v>
      </c>
      <c r="B284">
        <v>0.43</v>
      </c>
      <c r="C284">
        <v>1</v>
      </c>
      <c r="D284">
        <v>1</v>
      </c>
      <c r="E284">
        <v>95</v>
      </c>
      <c r="F284" t="s">
        <v>89</v>
      </c>
    </row>
    <row r="285" spans="1:6" x14ac:dyDescent="0.2">
      <c r="A285" t="str">
        <f t="shared" si="4"/>
        <v>NHA12_Typ2_U_100</v>
      </c>
      <c r="B285">
        <v>0.4</v>
      </c>
      <c r="C285">
        <v>1</v>
      </c>
      <c r="D285">
        <v>1</v>
      </c>
      <c r="E285">
        <v>100</v>
      </c>
      <c r="F285" t="s">
        <v>89</v>
      </c>
    </row>
    <row r="286" spans="1:6" x14ac:dyDescent="0.2">
      <c r="A286" t="str">
        <f t="shared" si="4"/>
        <v/>
      </c>
    </row>
    <row r="287" spans="1:6" x14ac:dyDescent="0.2">
      <c r="A287" t="str">
        <f t="shared" si="4"/>
        <v>NHA12_Typ1_U_5</v>
      </c>
      <c r="B287" s="122">
        <v>1.4</v>
      </c>
      <c r="C287">
        <v>1</v>
      </c>
      <c r="D287">
        <v>1</v>
      </c>
      <c r="E287">
        <v>5</v>
      </c>
      <c r="F287" t="s">
        <v>90</v>
      </c>
    </row>
    <row r="288" spans="1:6" x14ac:dyDescent="0.2">
      <c r="A288" t="str">
        <f t="shared" si="4"/>
        <v>NHA12_Typ1_U_10</v>
      </c>
      <c r="B288">
        <v>1.3</v>
      </c>
      <c r="C288">
        <v>1</v>
      </c>
      <c r="D288">
        <v>1</v>
      </c>
      <c r="E288">
        <v>10</v>
      </c>
      <c r="F288" t="s">
        <v>90</v>
      </c>
    </row>
    <row r="289" spans="1:6" x14ac:dyDescent="0.2">
      <c r="A289" t="str">
        <f t="shared" si="4"/>
        <v>NHA12_Typ1_U_15</v>
      </c>
      <c r="B289">
        <v>1.2</v>
      </c>
      <c r="C289">
        <v>1</v>
      </c>
      <c r="D289">
        <v>1</v>
      </c>
      <c r="E289">
        <v>15</v>
      </c>
      <c r="F289" t="s">
        <v>90</v>
      </c>
    </row>
    <row r="290" spans="1:6" x14ac:dyDescent="0.2">
      <c r="A290" t="str">
        <f t="shared" si="4"/>
        <v>NHA12_Typ1_U_20</v>
      </c>
      <c r="B290">
        <v>1.1000000000000001</v>
      </c>
      <c r="C290">
        <v>1</v>
      </c>
      <c r="D290">
        <v>1</v>
      </c>
      <c r="E290">
        <v>20</v>
      </c>
      <c r="F290" t="s">
        <v>90</v>
      </c>
    </row>
    <row r="291" spans="1:6" x14ac:dyDescent="0.2">
      <c r="A291" t="str">
        <f t="shared" si="4"/>
        <v>NHA12_Typ1_U_25</v>
      </c>
      <c r="B291">
        <v>1</v>
      </c>
      <c r="C291">
        <v>1</v>
      </c>
      <c r="D291">
        <v>1</v>
      </c>
      <c r="E291">
        <v>25</v>
      </c>
      <c r="F291" t="s">
        <v>90</v>
      </c>
    </row>
    <row r="292" spans="1:6" x14ac:dyDescent="0.2">
      <c r="A292" t="str">
        <f t="shared" si="4"/>
        <v>NHA12_Typ1_U_30</v>
      </c>
      <c r="B292">
        <v>0.94</v>
      </c>
      <c r="C292">
        <v>1</v>
      </c>
      <c r="D292">
        <v>1</v>
      </c>
      <c r="E292">
        <v>30</v>
      </c>
      <c r="F292" t="s">
        <v>90</v>
      </c>
    </row>
    <row r="293" spans="1:6" x14ac:dyDescent="0.2">
      <c r="A293" t="str">
        <f t="shared" si="4"/>
        <v>NHA12_Typ1_U_35</v>
      </c>
      <c r="B293">
        <v>0.88</v>
      </c>
      <c r="C293">
        <v>1</v>
      </c>
      <c r="D293">
        <v>1</v>
      </c>
      <c r="E293">
        <v>35</v>
      </c>
      <c r="F293" t="s">
        <v>90</v>
      </c>
    </row>
    <row r="294" spans="1:6" x14ac:dyDescent="0.2">
      <c r="A294" t="str">
        <f t="shared" si="4"/>
        <v>NHA12_Typ1_U_40</v>
      </c>
      <c r="B294">
        <v>0.82</v>
      </c>
      <c r="C294">
        <v>1</v>
      </c>
      <c r="D294">
        <v>1</v>
      </c>
      <c r="E294">
        <v>40</v>
      </c>
      <c r="F294" t="s">
        <v>90</v>
      </c>
    </row>
    <row r="295" spans="1:6" x14ac:dyDescent="0.2">
      <c r="A295" t="str">
        <f t="shared" si="4"/>
        <v>NHA12_Typ1_U_45</v>
      </c>
      <c r="B295">
        <v>0.76</v>
      </c>
      <c r="C295">
        <v>1</v>
      </c>
      <c r="D295">
        <v>1</v>
      </c>
      <c r="E295">
        <v>45</v>
      </c>
      <c r="F295" t="s">
        <v>90</v>
      </c>
    </row>
    <row r="296" spans="1:6" x14ac:dyDescent="0.2">
      <c r="A296" t="str">
        <f t="shared" si="4"/>
        <v>NHA12_Typ1_U_50</v>
      </c>
      <c r="B296">
        <v>0.7</v>
      </c>
      <c r="C296">
        <v>1</v>
      </c>
      <c r="D296">
        <v>1</v>
      </c>
      <c r="E296">
        <v>50</v>
      </c>
      <c r="F296" t="s">
        <v>90</v>
      </c>
    </row>
    <row r="297" spans="1:6" x14ac:dyDescent="0.2">
      <c r="A297" t="str">
        <f t="shared" si="4"/>
        <v>NHA12_Typ1_U_55</v>
      </c>
      <c r="B297">
        <v>0.67</v>
      </c>
      <c r="C297">
        <v>1</v>
      </c>
      <c r="D297">
        <v>1</v>
      </c>
      <c r="E297">
        <v>55</v>
      </c>
      <c r="F297" t="s">
        <v>90</v>
      </c>
    </row>
    <row r="298" spans="1:6" x14ac:dyDescent="0.2">
      <c r="A298" t="str">
        <f t="shared" si="4"/>
        <v>NHA12_Typ1_U_60</v>
      </c>
      <c r="B298">
        <v>0.64</v>
      </c>
      <c r="C298">
        <v>1</v>
      </c>
      <c r="D298">
        <v>1</v>
      </c>
      <c r="E298">
        <v>60</v>
      </c>
      <c r="F298" t="s">
        <v>90</v>
      </c>
    </row>
    <row r="299" spans="1:6" x14ac:dyDescent="0.2">
      <c r="A299" t="str">
        <f t="shared" si="4"/>
        <v>NHA12_Typ1_U_65</v>
      </c>
      <c r="B299">
        <v>0.61</v>
      </c>
      <c r="C299">
        <v>1</v>
      </c>
      <c r="D299">
        <v>1</v>
      </c>
      <c r="E299">
        <v>65</v>
      </c>
      <c r="F299" t="s">
        <v>90</v>
      </c>
    </row>
    <row r="300" spans="1:6" x14ac:dyDescent="0.2">
      <c r="A300" t="str">
        <f t="shared" si="4"/>
        <v>NHA12_Typ1_U_70</v>
      </c>
      <c r="B300">
        <v>0.57999999999999996</v>
      </c>
      <c r="C300">
        <v>1</v>
      </c>
      <c r="D300">
        <v>1</v>
      </c>
      <c r="E300">
        <v>70</v>
      </c>
      <c r="F300" t="s">
        <v>90</v>
      </c>
    </row>
    <row r="301" spans="1:6" x14ac:dyDescent="0.2">
      <c r="A301" t="str">
        <f t="shared" si="4"/>
        <v>NHA12_Typ1_U_75</v>
      </c>
      <c r="B301">
        <v>0.55000000000000004</v>
      </c>
      <c r="C301">
        <v>1</v>
      </c>
      <c r="D301">
        <v>1</v>
      </c>
      <c r="E301">
        <v>75</v>
      </c>
      <c r="F301" t="s">
        <v>90</v>
      </c>
    </row>
    <row r="302" spans="1:6" x14ac:dyDescent="0.2">
      <c r="A302" t="str">
        <f t="shared" si="4"/>
        <v>NHA12_Typ1_U_80</v>
      </c>
      <c r="B302">
        <v>0.52</v>
      </c>
      <c r="C302">
        <v>1</v>
      </c>
      <c r="D302">
        <v>1</v>
      </c>
      <c r="E302">
        <v>80</v>
      </c>
      <c r="F302" t="s">
        <v>90</v>
      </c>
    </row>
    <row r="303" spans="1:6" x14ac:dyDescent="0.2">
      <c r="A303" t="str">
        <f t="shared" si="4"/>
        <v>NHA12_Typ1_U_85</v>
      </c>
      <c r="B303">
        <v>0.49</v>
      </c>
      <c r="C303">
        <v>1</v>
      </c>
      <c r="D303">
        <v>1</v>
      </c>
      <c r="E303">
        <v>85</v>
      </c>
      <c r="F303" t="s">
        <v>90</v>
      </c>
    </row>
    <row r="304" spans="1:6" x14ac:dyDescent="0.2">
      <c r="A304" t="str">
        <f t="shared" si="4"/>
        <v>NHA12_Typ1_U_90</v>
      </c>
      <c r="B304">
        <v>0.46</v>
      </c>
      <c r="C304">
        <v>1</v>
      </c>
      <c r="D304">
        <v>1</v>
      </c>
      <c r="E304">
        <v>90</v>
      </c>
      <c r="F304" t="s">
        <v>90</v>
      </c>
    </row>
    <row r="305" spans="1:6" x14ac:dyDescent="0.2">
      <c r="A305" t="str">
        <f t="shared" si="4"/>
        <v>NHA12_Typ1_U_95</v>
      </c>
      <c r="B305">
        <v>0.43</v>
      </c>
      <c r="C305">
        <v>1</v>
      </c>
      <c r="D305">
        <v>1</v>
      </c>
      <c r="E305">
        <v>95</v>
      </c>
      <c r="F305" t="s">
        <v>90</v>
      </c>
    </row>
    <row r="306" spans="1:6" x14ac:dyDescent="0.2">
      <c r="A306" t="str">
        <f t="shared" si="4"/>
        <v>NHA12_Typ1_U_100</v>
      </c>
      <c r="B306">
        <v>0.4</v>
      </c>
      <c r="C306">
        <v>1</v>
      </c>
      <c r="D306">
        <v>1</v>
      </c>
      <c r="E306">
        <v>100</v>
      </c>
      <c r="F306" t="s">
        <v>90</v>
      </c>
    </row>
    <row r="307" spans="1:6" x14ac:dyDescent="0.2">
      <c r="A307" t="str">
        <f t="shared" si="4"/>
        <v/>
      </c>
    </row>
    <row r="308" spans="1:6" x14ac:dyDescent="0.2">
      <c r="A308" t="str">
        <f t="shared" si="4"/>
        <v>NLO15_5</v>
      </c>
      <c r="B308" s="122">
        <v>1.4</v>
      </c>
      <c r="C308">
        <v>1</v>
      </c>
      <c r="D308">
        <v>1</v>
      </c>
      <c r="E308">
        <v>5</v>
      </c>
      <c r="F308" t="s">
        <v>72</v>
      </c>
    </row>
    <row r="309" spans="1:6" x14ac:dyDescent="0.2">
      <c r="A309" t="str">
        <f t="shared" si="4"/>
        <v>NLO15_10</v>
      </c>
      <c r="B309">
        <v>1.3</v>
      </c>
      <c r="C309">
        <v>1</v>
      </c>
      <c r="D309">
        <v>1</v>
      </c>
      <c r="E309">
        <v>10</v>
      </c>
      <c r="F309" t="s">
        <v>72</v>
      </c>
    </row>
    <row r="310" spans="1:6" x14ac:dyDescent="0.2">
      <c r="A310" t="str">
        <f t="shared" si="4"/>
        <v>NLO15_15</v>
      </c>
      <c r="B310">
        <v>1.2</v>
      </c>
      <c r="C310">
        <v>1</v>
      </c>
      <c r="D310">
        <v>1</v>
      </c>
      <c r="E310">
        <v>15</v>
      </c>
      <c r="F310" t="s">
        <v>72</v>
      </c>
    </row>
    <row r="311" spans="1:6" x14ac:dyDescent="0.2">
      <c r="A311" t="str">
        <f t="shared" si="4"/>
        <v>NLO15_20</v>
      </c>
      <c r="B311">
        <v>1.1000000000000001</v>
      </c>
      <c r="C311">
        <v>1</v>
      </c>
      <c r="D311">
        <v>1</v>
      </c>
      <c r="E311">
        <v>20</v>
      </c>
      <c r="F311" t="s">
        <v>72</v>
      </c>
    </row>
    <row r="312" spans="1:6" x14ac:dyDescent="0.2">
      <c r="A312" t="str">
        <f t="shared" si="4"/>
        <v>NLO15_25</v>
      </c>
      <c r="B312">
        <v>1</v>
      </c>
      <c r="C312">
        <v>1</v>
      </c>
      <c r="D312">
        <v>1</v>
      </c>
      <c r="E312">
        <v>25</v>
      </c>
      <c r="F312" t="s">
        <v>72</v>
      </c>
    </row>
    <row r="313" spans="1:6" x14ac:dyDescent="0.2">
      <c r="A313" t="str">
        <f t="shared" si="4"/>
        <v>NLO15_30</v>
      </c>
      <c r="B313">
        <v>0.94</v>
      </c>
      <c r="C313">
        <v>1</v>
      </c>
      <c r="D313">
        <v>1</v>
      </c>
      <c r="E313">
        <v>30</v>
      </c>
      <c r="F313" t="s">
        <v>72</v>
      </c>
    </row>
    <row r="314" spans="1:6" x14ac:dyDescent="0.2">
      <c r="A314" t="str">
        <f t="shared" si="4"/>
        <v>NLO15_35</v>
      </c>
      <c r="B314">
        <v>0.88</v>
      </c>
      <c r="C314">
        <v>1</v>
      </c>
      <c r="D314">
        <v>1</v>
      </c>
      <c r="E314">
        <v>35</v>
      </c>
      <c r="F314" t="s">
        <v>72</v>
      </c>
    </row>
    <row r="315" spans="1:6" x14ac:dyDescent="0.2">
      <c r="A315" t="str">
        <f t="shared" si="4"/>
        <v>NLO15_40</v>
      </c>
      <c r="B315">
        <v>0.82</v>
      </c>
      <c r="C315">
        <v>1</v>
      </c>
      <c r="D315">
        <v>1</v>
      </c>
      <c r="E315">
        <v>40</v>
      </c>
      <c r="F315" t="s">
        <v>72</v>
      </c>
    </row>
    <row r="316" spans="1:6" x14ac:dyDescent="0.2">
      <c r="A316" t="str">
        <f t="shared" si="4"/>
        <v>NLO15_45</v>
      </c>
      <c r="B316">
        <v>0.76</v>
      </c>
      <c r="C316">
        <v>1</v>
      </c>
      <c r="D316">
        <v>1</v>
      </c>
      <c r="E316">
        <v>45</v>
      </c>
      <c r="F316" t="s">
        <v>72</v>
      </c>
    </row>
    <row r="317" spans="1:6" x14ac:dyDescent="0.2">
      <c r="A317" t="str">
        <f t="shared" si="4"/>
        <v>NLO15_50</v>
      </c>
      <c r="B317">
        <v>0.7</v>
      </c>
      <c r="C317">
        <v>1</v>
      </c>
      <c r="D317">
        <v>1</v>
      </c>
      <c r="E317">
        <v>50</v>
      </c>
      <c r="F317" t="s">
        <v>72</v>
      </c>
    </row>
    <row r="318" spans="1:6" x14ac:dyDescent="0.2">
      <c r="A318" t="str">
        <f t="shared" si="4"/>
        <v>NLO15_55</v>
      </c>
      <c r="B318">
        <v>0.67</v>
      </c>
      <c r="C318">
        <v>1</v>
      </c>
      <c r="D318">
        <v>1</v>
      </c>
      <c r="E318">
        <v>55</v>
      </c>
      <c r="F318" t="s">
        <v>72</v>
      </c>
    </row>
    <row r="319" spans="1:6" x14ac:dyDescent="0.2">
      <c r="A319" t="str">
        <f t="shared" si="4"/>
        <v>NLO15_60</v>
      </c>
      <c r="B319">
        <v>0.64</v>
      </c>
      <c r="C319">
        <v>1</v>
      </c>
      <c r="D319">
        <v>1</v>
      </c>
      <c r="E319">
        <v>60</v>
      </c>
      <c r="F319" t="s">
        <v>72</v>
      </c>
    </row>
    <row r="320" spans="1:6" x14ac:dyDescent="0.2">
      <c r="A320" t="str">
        <f t="shared" si="4"/>
        <v>NLO15_65</v>
      </c>
      <c r="B320">
        <v>0.61</v>
      </c>
      <c r="C320">
        <v>1</v>
      </c>
      <c r="D320">
        <v>1</v>
      </c>
      <c r="E320">
        <v>65</v>
      </c>
      <c r="F320" t="s">
        <v>72</v>
      </c>
    </row>
    <row r="321" spans="1:6" x14ac:dyDescent="0.2">
      <c r="A321" t="str">
        <f t="shared" si="4"/>
        <v>NLO15_70</v>
      </c>
      <c r="B321">
        <v>0.57999999999999996</v>
      </c>
      <c r="C321">
        <v>1</v>
      </c>
      <c r="D321">
        <v>1</v>
      </c>
      <c r="E321">
        <v>70</v>
      </c>
      <c r="F321" t="s">
        <v>72</v>
      </c>
    </row>
    <row r="322" spans="1:6" x14ac:dyDescent="0.2">
      <c r="A322" t="str">
        <f t="shared" si="4"/>
        <v>NLO15_75</v>
      </c>
      <c r="B322">
        <v>0.55000000000000004</v>
      </c>
      <c r="C322">
        <v>1</v>
      </c>
      <c r="D322">
        <v>1</v>
      </c>
      <c r="E322">
        <v>75</v>
      </c>
      <c r="F322" t="s">
        <v>72</v>
      </c>
    </row>
    <row r="323" spans="1:6" x14ac:dyDescent="0.2">
      <c r="A323" t="str">
        <f t="shared" ref="A323:A386" si="5">IF(F323="","",CONCATENATE(F323,"_",E323))</f>
        <v>NLO15_80</v>
      </c>
      <c r="B323">
        <v>0.52</v>
      </c>
      <c r="C323">
        <v>1</v>
      </c>
      <c r="D323">
        <v>1</v>
      </c>
      <c r="E323">
        <v>80</v>
      </c>
      <c r="F323" t="s">
        <v>72</v>
      </c>
    </row>
    <row r="324" spans="1:6" x14ac:dyDescent="0.2">
      <c r="A324" t="str">
        <f t="shared" si="5"/>
        <v>NLO15_85</v>
      </c>
      <c r="B324">
        <v>0.49</v>
      </c>
      <c r="C324">
        <v>1</v>
      </c>
      <c r="D324">
        <v>1</v>
      </c>
      <c r="E324">
        <v>85</v>
      </c>
      <c r="F324" t="s">
        <v>72</v>
      </c>
    </row>
    <row r="325" spans="1:6" x14ac:dyDescent="0.2">
      <c r="A325" t="str">
        <f t="shared" si="5"/>
        <v>NLO15_90</v>
      </c>
      <c r="B325">
        <v>0.46</v>
      </c>
      <c r="C325">
        <v>1</v>
      </c>
      <c r="D325">
        <v>1</v>
      </c>
      <c r="E325">
        <v>90</v>
      </c>
      <c r="F325" t="s">
        <v>72</v>
      </c>
    </row>
    <row r="326" spans="1:6" x14ac:dyDescent="0.2">
      <c r="A326" t="str">
        <f t="shared" si="5"/>
        <v>NLO15_95</v>
      </c>
      <c r="B326">
        <v>0.43</v>
      </c>
      <c r="C326">
        <v>1</v>
      </c>
      <c r="D326">
        <v>1</v>
      </c>
      <c r="E326">
        <v>95</v>
      </c>
      <c r="F326" t="s">
        <v>72</v>
      </c>
    </row>
    <row r="327" spans="1:6" x14ac:dyDescent="0.2">
      <c r="A327" t="str">
        <f t="shared" si="5"/>
        <v>NLO15_100</v>
      </c>
      <c r="B327">
        <v>0.4</v>
      </c>
      <c r="C327">
        <v>1</v>
      </c>
      <c r="D327">
        <v>1</v>
      </c>
      <c r="E327">
        <v>100</v>
      </c>
      <c r="F327" t="s">
        <v>72</v>
      </c>
    </row>
    <row r="328" spans="1:6" x14ac:dyDescent="0.2">
      <c r="A328" t="str">
        <f t="shared" si="5"/>
        <v>NLO15_110</v>
      </c>
      <c r="B328">
        <v>0.4</v>
      </c>
      <c r="C328">
        <v>1</v>
      </c>
      <c r="D328">
        <v>0.75</v>
      </c>
      <c r="E328">
        <v>110</v>
      </c>
      <c r="F328" t="s">
        <v>72</v>
      </c>
    </row>
    <row r="329" spans="1:6" x14ac:dyDescent="0.2">
      <c r="A329" t="str">
        <f t="shared" si="5"/>
        <v>NLO15_120</v>
      </c>
      <c r="B329">
        <v>0.4</v>
      </c>
      <c r="C329">
        <v>1</v>
      </c>
      <c r="D329">
        <v>0.5</v>
      </c>
      <c r="E329">
        <v>120</v>
      </c>
      <c r="F329" t="s">
        <v>72</v>
      </c>
    </row>
    <row r="330" spans="1:6" x14ac:dyDescent="0.2">
      <c r="A330" t="str">
        <f t="shared" si="5"/>
        <v/>
      </c>
    </row>
    <row r="331" spans="1:6" x14ac:dyDescent="0.2">
      <c r="A331" t="str">
        <f t="shared" si="5"/>
        <v>NPS15_5</v>
      </c>
      <c r="B331" s="122">
        <v>1.4</v>
      </c>
      <c r="C331">
        <v>1</v>
      </c>
      <c r="D331">
        <v>1</v>
      </c>
      <c r="E331">
        <v>5</v>
      </c>
      <c r="F331" t="s">
        <v>73</v>
      </c>
    </row>
    <row r="332" spans="1:6" x14ac:dyDescent="0.2">
      <c r="A332" t="str">
        <f t="shared" si="5"/>
        <v>NPS15_10</v>
      </c>
      <c r="B332">
        <v>1.3</v>
      </c>
      <c r="C332">
        <v>1</v>
      </c>
      <c r="D332">
        <v>1</v>
      </c>
      <c r="E332">
        <v>10</v>
      </c>
      <c r="F332" t="s">
        <v>73</v>
      </c>
    </row>
    <row r="333" spans="1:6" x14ac:dyDescent="0.2">
      <c r="A333" t="str">
        <f t="shared" si="5"/>
        <v>NPS15_15</v>
      </c>
      <c r="B333">
        <v>1.2</v>
      </c>
      <c r="C333">
        <v>1</v>
      </c>
      <c r="D333">
        <v>1</v>
      </c>
      <c r="E333">
        <v>15</v>
      </c>
      <c r="F333" t="s">
        <v>73</v>
      </c>
    </row>
    <row r="334" spans="1:6" x14ac:dyDescent="0.2">
      <c r="A334" t="str">
        <f t="shared" si="5"/>
        <v>NPS15_20</v>
      </c>
      <c r="B334">
        <v>1.1000000000000001</v>
      </c>
      <c r="C334">
        <v>1</v>
      </c>
      <c r="D334">
        <v>1</v>
      </c>
      <c r="E334">
        <v>20</v>
      </c>
      <c r="F334" t="s">
        <v>73</v>
      </c>
    </row>
    <row r="335" spans="1:6" x14ac:dyDescent="0.2">
      <c r="A335" t="str">
        <f t="shared" si="5"/>
        <v>NPS15_25</v>
      </c>
      <c r="B335">
        <v>1</v>
      </c>
      <c r="C335">
        <v>1</v>
      </c>
      <c r="D335">
        <v>1</v>
      </c>
      <c r="E335">
        <v>25</v>
      </c>
      <c r="F335" t="s">
        <v>73</v>
      </c>
    </row>
    <row r="336" spans="1:6" x14ac:dyDescent="0.2">
      <c r="A336" t="str">
        <f t="shared" si="5"/>
        <v>NPS15_30</v>
      </c>
      <c r="B336">
        <v>0.94</v>
      </c>
      <c r="C336">
        <v>1</v>
      </c>
      <c r="D336">
        <v>1</v>
      </c>
      <c r="E336">
        <v>30</v>
      </c>
      <c r="F336" t="s">
        <v>73</v>
      </c>
    </row>
    <row r="337" spans="1:6" x14ac:dyDescent="0.2">
      <c r="A337" t="str">
        <f t="shared" si="5"/>
        <v>NPS15_35</v>
      </c>
      <c r="B337">
        <v>0.88</v>
      </c>
      <c r="C337">
        <v>1</v>
      </c>
      <c r="D337">
        <v>1</v>
      </c>
      <c r="E337">
        <v>35</v>
      </c>
      <c r="F337" t="s">
        <v>73</v>
      </c>
    </row>
    <row r="338" spans="1:6" x14ac:dyDescent="0.2">
      <c r="A338" t="str">
        <f t="shared" si="5"/>
        <v>NPS15_40</v>
      </c>
      <c r="B338">
        <v>0.82</v>
      </c>
      <c r="C338">
        <v>1</v>
      </c>
      <c r="D338">
        <v>1</v>
      </c>
      <c r="E338">
        <v>40</v>
      </c>
      <c r="F338" t="s">
        <v>73</v>
      </c>
    </row>
    <row r="339" spans="1:6" x14ac:dyDescent="0.2">
      <c r="A339" t="str">
        <f t="shared" si="5"/>
        <v>NPS15_45</v>
      </c>
      <c r="B339">
        <v>0.76</v>
      </c>
      <c r="C339">
        <v>1</v>
      </c>
      <c r="D339">
        <v>1</v>
      </c>
      <c r="E339">
        <v>45</v>
      </c>
      <c r="F339" t="s">
        <v>73</v>
      </c>
    </row>
    <row r="340" spans="1:6" x14ac:dyDescent="0.2">
      <c r="A340" t="str">
        <f t="shared" si="5"/>
        <v>NPS15_50</v>
      </c>
      <c r="B340">
        <v>0.7</v>
      </c>
      <c r="C340">
        <v>1</v>
      </c>
      <c r="D340">
        <v>1</v>
      </c>
      <c r="E340">
        <v>50</v>
      </c>
      <c r="F340" t="s">
        <v>73</v>
      </c>
    </row>
    <row r="341" spans="1:6" x14ac:dyDescent="0.2">
      <c r="A341" t="str">
        <f t="shared" si="5"/>
        <v>NPS15_55</v>
      </c>
      <c r="B341">
        <v>0.67</v>
      </c>
      <c r="C341">
        <v>1</v>
      </c>
      <c r="D341">
        <v>1</v>
      </c>
      <c r="E341">
        <v>55</v>
      </c>
      <c r="F341" t="s">
        <v>73</v>
      </c>
    </row>
    <row r="342" spans="1:6" x14ac:dyDescent="0.2">
      <c r="A342" t="str">
        <f t="shared" si="5"/>
        <v>NPS15_60</v>
      </c>
      <c r="B342">
        <v>0.64</v>
      </c>
      <c r="C342">
        <v>1</v>
      </c>
      <c r="D342">
        <v>1</v>
      </c>
      <c r="E342">
        <v>60</v>
      </c>
      <c r="F342" t="s">
        <v>73</v>
      </c>
    </row>
    <row r="343" spans="1:6" x14ac:dyDescent="0.2">
      <c r="A343" t="str">
        <f t="shared" si="5"/>
        <v>NPS15_65</v>
      </c>
      <c r="B343">
        <v>0.61</v>
      </c>
      <c r="C343">
        <v>1</v>
      </c>
      <c r="D343">
        <v>1</v>
      </c>
      <c r="E343">
        <v>65</v>
      </c>
      <c r="F343" t="s">
        <v>73</v>
      </c>
    </row>
    <row r="344" spans="1:6" x14ac:dyDescent="0.2">
      <c r="A344" t="str">
        <f t="shared" si="5"/>
        <v>NPS15_70</v>
      </c>
      <c r="B344">
        <v>0.57999999999999996</v>
      </c>
      <c r="C344">
        <v>1</v>
      </c>
      <c r="D344">
        <v>1</v>
      </c>
      <c r="E344">
        <v>70</v>
      </c>
      <c r="F344" t="s">
        <v>73</v>
      </c>
    </row>
    <row r="345" spans="1:6" x14ac:dyDescent="0.2">
      <c r="A345" t="str">
        <f t="shared" si="5"/>
        <v>NPS15_75</v>
      </c>
      <c r="B345">
        <v>0.55000000000000004</v>
      </c>
      <c r="C345">
        <v>1</v>
      </c>
      <c r="D345">
        <v>1</v>
      </c>
      <c r="E345">
        <v>75</v>
      </c>
      <c r="F345" t="s">
        <v>73</v>
      </c>
    </row>
    <row r="346" spans="1:6" x14ac:dyDescent="0.2">
      <c r="A346" t="str">
        <f t="shared" si="5"/>
        <v>NPS15_80</v>
      </c>
      <c r="B346">
        <v>0.52</v>
      </c>
      <c r="C346">
        <v>1</v>
      </c>
      <c r="D346">
        <v>1</v>
      </c>
      <c r="E346">
        <v>80</v>
      </c>
      <c r="F346" t="s">
        <v>73</v>
      </c>
    </row>
    <row r="347" spans="1:6" x14ac:dyDescent="0.2">
      <c r="A347" t="str">
        <f t="shared" si="5"/>
        <v>NPS15_85</v>
      </c>
      <c r="B347">
        <v>0.49</v>
      </c>
      <c r="C347">
        <v>1</v>
      </c>
      <c r="D347">
        <v>1</v>
      </c>
      <c r="E347">
        <v>85</v>
      </c>
      <c r="F347" t="s">
        <v>73</v>
      </c>
    </row>
    <row r="348" spans="1:6" x14ac:dyDescent="0.2">
      <c r="A348" t="str">
        <f t="shared" si="5"/>
        <v>NPS15_90</v>
      </c>
      <c r="B348">
        <v>0.46</v>
      </c>
      <c r="C348">
        <v>1</v>
      </c>
      <c r="D348">
        <v>1</v>
      </c>
      <c r="E348">
        <v>90</v>
      </c>
      <c r="F348" t="s">
        <v>73</v>
      </c>
    </row>
    <row r="349" spans="1:6" x14ac:dyDescent="0.2">
      <c r="A349" t="str">
        <f t="shared" si="5"/>
        <v>NPS15_95</v>
      </c>
      <c r="B349">
        <v>0.43</v>
      </c>
      <c r="C349">
        <v>1</v>
      </c>
      <c r="D349">
        <v>1</v>
      </c>
      <c r="E349">
        <v>95</v>
      </c>
      <c r="F349" t="s">
        <v>73</v>
      </c>
    </row>
    <row r="350" spans="1:6" x14ac:dyDescent="0.2">
      <c r="A350" t="str">
        <f t="shared" si="5"/>
        <v>NPS15_100</v>
      </c>
      <c r="B350">
        <v>0.4</v>
      </c>
      <c r="C350">
        <v>1</v>
      </c>
      <c r="D350">
        <v>1</v>
      </c>
      <c r="E350">
        <v>100</v>
      </c>
      <c r="F350" t="s">
        <v>73</v>
      </c>
    </row>
    <row r="351" spans="1:6" x14ac:dyDescent="0.2">
      <c r="A351" t="str">
        <f t="shared" si="5"/>
        <v>NPS15_110</v>
      </c>
      <c r="B351">
        <v>0.4</v>
      </c>
      <c r="C351">
        <v>1</v>
      </c>
      <c r="D351">
        <v>0.75</v>
      </c>
      <c r="E351">
        <v>110</v>
      </c>
      <c r="F351" t="s">
        <v>73</v>
      </c>
    </row>
    <row r="352" spans="1:6" x14ac:dyDescent="0.2">
      <c r="A352" t="str">
        <f t="shared" si="5"/>
        <v>NPS15_120</v>
      </c>
      <c r="B352">
        <v>0.4</v>
      </c>
      <c r="C352">
        <v>1</v>
      </c>
      <c r="D352">
        <v>0.5</v>
      </c>
      <c r="E352">
        <v>120</v>
      </c>
      <c r="F352" t="s">
        <v>73</v>
      </c>
    </row>
    <row r="353" spans="1:6" x14ac:dyDescent="0.2">
      <c r="A353" t="str">
        <f t="shared" si="5"/>
        <v/>
      </c>
    </row>
    <row r="354" spans="1:6" x14ac:dyDescent="0.2">
      <c r="A354" t="str">
        <f t="shared" si="5"/>
        <v>NIN12_Typ1_U_5</v>
      </c>
      <c r="B354" s="122">
        <v>1.4</v>
      </c>
      <c r="C354">
        <v>1</v>
      </c>
      <c r="D354">
        <v>1</v>
      </c>
      <c r="E354">
        <v>5</v>
      </c>
      <c r="F354" t="s">
        <v>75</v>
      </c>
    </row>
    <row r="355" spans="1:6" x14ac:dyDescent="0.2">
      <c r="A355" t="str">
        <f t="shared" si="5"/>
        <v>NIN12_Typ1_U_10</v>
      </c>
      <c r="B355">
        <v>1.3</v>
      </c>
      <c r="C355">
        <v>1</v>
      </c>
      <c r="D355">
        <v>1</v>
      </c>
      <c r="E355">
        <v>10</v>
      </c>
      <c r="F355" t="s">
        <v>75</v>
      </c>
    </row>
    <row r="356" spans="1:6" x14ac:dyDescent="0.2">
      <c r="A356" t="str">
        <f t="shared" si="5"/>
        <v>NIN12_Typ1_U_15</v>
      </c>
      <c r="B356">
        <v>1.2</v>
      </c>
      <c r="C356">
        <v>1</v>
      </c>
      <c r="D356">
        <v>1</v>
      </c>
      <c r="E356">
        <v>15</v>
      </c>
      <c r="F356" t="s">
        <v>75</v>
      </c>
    </row>
    <row r="357" spans="1:6" x14ac:dyDescent="0.2">
      <c r="A357" t="str">
        <f t="shared" si="5"/>
        <v>NIN12_Typ1_U_20</v>
      </c>
      <c r="B357">
        <v>1.1000000000000001</v>
      </c>
      <c r="C357">
        <v>1</v>
      </c>
      <c r="D357">
        <v>1</v>
      </c>
      <c r="E357">
        <v>20</v>
      </c>
      <c r="F357" t="s">
        <v>75</v>
      </c>
    </row>
    <row r="358" spans="1:6" x14ac:dyDescent="0.2">
      <c r="A358" t="str">
        <f t="shared" si="5"/>
        <v>NIN12_Typ1_U_25</v>
      </c>
      <c r="B358">
        <v>1</v>
      </c>
      <c r="C358">
        <v>1</v>
      </c>
      <c r="D358">
        <v>1</v>
      </c>
      <c r="E358">
        <v>25</v>
      </c>
      <c r="F358" t="s">
        <v>75</v>
      </c>
    </row>
    <row r="359" spans="1:6" x14ac:dyDescent="0.2">
      <c r="A359" t="str">
        <f t="shared" si="5"/>
        <v>NIN12_Typ1_U_30</v>
      </c>
      <c r="B359">
        <v>0.94</v>
      </c>
      <c r="C359">
        <v>1</v>
      </c>
      <c r="D359">
        <v>1</v>
      </c>
      <c r="E359">
        <v>30</v>
      </c>
      <c r="F359" t="s">
        <v>75</v>
      </c>
    </row>
    <row r="360" spans="1:6" x14ac:dyDescent="0.2">
      <c r="A360" t="str">
        <f t="shared" si="5"/>
        <v>NIN12_Typ1_U_35</v>
      </c>
      <c r="B360">
        <v>0.88</v>
      </c>
      <c r="C360">
        <v>1</v>
      </c>
      <c r="D360">
        <v>1</v>
      </c>
      <c r="E360">
        <v>35</v>
      </c>
      <c r="F360" t="s">
        <v>75</v>
      </c>
    </row>
    <row r="361" spans="1:6" x14ac:dyDescent="0.2">
      <c r="A361" t="str">
        <f t="shared" si="5"/>
        <v>NIN12_Typ1_U_40</v>
      </c>
      <c r="B361">
        <v>0.82</v>
      </c>
      <c r="C361">
        <v>1</v>
      </c>
      <c r="D361">
        <v>1</v>
      </c>
      <c r="E361">
        <v>40</v>
      </c>
      <c r="F361" t="s">
        <v>75</v>
      </c>
    </row>
    <row r="362" spans="1:6" x14ac:dyDescent="0.2">
      <c r="A362" t="str">
        <f t="shared" si="5"/>
        <v>NIN12_Typ1_U_45</v>
      </c>
      <c r="B362">
        <v>0.76</v>
      </c>
      <c r="C362">
        <v>1</v>
      </c>
      <c r="D362">
        <v>1</v>
      </c>
      <c r="E362">
        <v>45</v>
      </c>
      <c r="F362" t="s">
        <v>75</v>
      </c>
    </row>
    <row r="363" spans="1:6" x14ac:dyDescent="0.2">
      <c r="A363" t="str">
        <f t="shared" si="5"/>
        <v>NIN12_Typ1_U_50</v>
      </c>
      <c r="B363">
        <v>0.7</v>
      </c>
      <c r="C363">
        <v>1</v>
      </c>
      <c r="D363">
        <v>1</v>
      </c>
      <c r="E363">
        <v>50</v>
      </c>
      <c r="F363" t="s">
        <v>75</v>
      </c>
    </row>
    <row r="364" spans="1:6" x14ac:dyDescent="0.2">
      <c r="A364" t="str">
        <f t="shared" si="5"/>
        <v>NIN12_Typ1_U_55</v>
      </c>
      <c r="B364">
        <v>0.67</v>
      </c>
      <c r="C364">
        <v>1</v>
      </c>
      <c r="D364">
        <v>1</v>
      </c>
      <c r="E364">
        <v>55</v>
      </c>
      <c r="F364" t="s">
        <v>75</v>
      </c>
    </row>
    <row r="365" spans="1:6" x14ac:dyDescent="0.2">
      <c r="A365" t="str">
        <f t="shared" si="5"/>
        <v>NIN12_Typ1_U_60</v>
      </c>
      <c r="B365">
        <v>0.64</v>
      </c>
      <c r="C365">
        <v>1</v>
      </c>
      <c r="D365">
        <v>1</v>
      </c>
      <c r="E365">
        <v>60</v>
      </c>
      <c r="F365" t="s">
        <v>75</v>
      </c>
    </row>
    <row r="366" spans="1:6" x14ac:dyDescent="0.2">
      <c r="A366" t="str">
        <f t="shared" si="5"/>
        <v>NIN12_Typ1_U_65</v>
      </c>
      <c r="B366">
        <v>0.61</v>
      </c>
      <c r="C366">
        <v>1</v>
      </c>
      <c r="D366">
        <v>1</v>
      </c>
      <c r="E366">
        <v>65</v>
      </c>
      <c r="F366" t="s">
        <v>75</v>
      </c>
    </row>
    <row r="367" spans="1:6" x14ac:dyDescent="0.2">
      <c r="A367" t="str">
        <f t="shared" si="5"/>
        <v>NIN12_Typ1_U_70</v>
      </c>
      <c r="B367">
        <v>0.57999999999999996</v>
      </c>
      <c r="C367">
        <v>1</v>
      </c>
      <c r="D367">
        <v>1</v>
      </c>
      <c r="E367">
        <v>70</v>
      </c>
      <c r="F367" t="s">
        <v>75</v>
      </c>
    </row>
    <row r="368" spans="1:6" x14ac:dyDescent="0.2">
      <c r="A368" t="str">
        <f t="shared" si="5"/>
        <v>NIN12_Typ1_U_75</v>
      </c>
      <c r="B368">
        <v>0.55000000000000004</v>
      </c>
      <c r="C368">
        <v>1</v>
      </c>
      <c r="D368">
        <v>1</v>
      </c>
      <c r="E368">
        <v>75</v>
      </c>
      <c r="F368" t="s">
        <v>75</v>
      </c>
    </row>
    <row r="369" spans="1:6" x14ac:dyDescent="0.2">
      <c r="A369" t="str">
        <f t="shared" si="5"/>
        <v>NIN12_Typ1_U_80</v>
      </c>
      <c r="B369">
        <v>0.52</v>
      </c>
      <c r="C369">
        <v>1</v>
      </c>
      <c r="D369">
        <v>1</v>
      </c>
      <c r="E369">
        <v>80</v>
      </c>
      <c r="F369" t="s">
        <v>75</v>
      </c>
    </row>
    <row r="370" spans="1:6" x14ac:dyDescent="0.2">
      <c r="A370" t="str">
        <f t="shared" si="5"/>
        <v>NIN12_Typ1_U_85</v>
      </c>
      <c r="B370">
        <v>0.49</v>
      </c>
      <c r="C370">
        <v>1</v>
      </c>
      <c r="D370">
        <v>1</v>
      </c>
      <c r="E370">
        <v>85</v>
      </c>
      <c r="F370" t="s">
        <v>75</v>
      </c>
    </row>
    <row r="371" spans="1:6" x14ac:dyDescent="0.2">
      <c r="A371" t="str">
        <f t="shared" si="5"/>
        <v>NIN12_Typ1_U_90</v>
      </c>
      <c r="B371">
        <v>0.46</v>
      </c>
      <c r="C371">
        <v>1</v>
      </c>
      <c r="D371">
        <v>1</v>
      </c>
      <c r="E371">
        <v>90</v>
      </c>
      <c r="F371" t="s">
        <v>75</v>
      </c>
    </row>
    <row r="372" spans="1:6" x14ac:dyDescent="0.2">
      <c r="A372" t="str">
        <f t="shared" si="5"/>
        <v>NIN12_Typ1_U_95</v>
      </c>
      <c r="B372">
        <v>0.43</v>
      </c>
      <c r="C372">
        <v>1</v>
      </c>
      <c r="D372">
        <v>1</v>
      </c>
      <c r="E372">
        <v>95</v>
      </c>
      <c r="F372" t="s">
        <v>75</v>
      </c>
    </row>
    <row r="373" spans="1:6" x14ac:dyDescent="0.2">
      <c r="A373" t="str">
        <f t="shared" si="5"/>
        <v>NIN12_Typ1_U_100</v>
      </c>
      <c r="B373">
        <v>0.4</v>
      </c>
      <c r="C373">
        <v>1</v>
      </c>
      <c r="D373">
        <v>1</v>
      </c>
      <c r="E373">
        <v>100</v>
      </c>
      <c r="F373" t="s">
        <v>75</v>
      </c>
    </row>
    <row r="374" spans="1:6" x14ac:dyDescent="0.2">
      <c r="A374" t="str">
        <f t="shared" si="5"/>
        <v/>
      </c>
    </row>
    <row r="375" spans="1:6" x14ac:dyDescent="0.2">
      <c r="A375" t="str">
        <f t="shared" si="5"/>
        <v>NIN12_Typ2_U_5</v>
      </c>
      <c r="B375" s="122">
        <v>1.4</v>
      </c>
      <c r="C375">
        <v>1</v>
      </c>
      <c r="D375">
        <v>1</v>
      </c>
      <c r="E375">
        <v>5</v>
      </c>
      <c r="F375" t="s">
        <v>77</v>
      </c>
    </row>
    <row r="376" spans="1:6" x14ac:dyDescent="0.2">
      <c r="A376" t="str">
        <f t="shared" si="5"/>
        <v>NIN12_Typ2_U_10</v>
      </c>
      <c r="B376">
        <v>1.3</v>
      </c>
      <c r="C376">
        <v>1</v>
      </c>
      <c r="D376">
        <v>1</v>
      </c>
      <c r="E376">
        <v>10</v>
      </c>
      <c r="F376" t="s">
        <v>77</v>
      </c>
    </row>
    <row r="377" spans="1:6" x14ac:dyDescent="0.2">
      <c r="A377" t="str">
        <f t="shared" si="5"/>
        <v>NIN12_Typ2_U_15</v>
      </c>
      <c r="B377">
        <v>1.2</v>
      </c>
      <c r="C377">
        <v>1</v>
      </c>
      <c r="D377">
        <v>1</v>
      </c>
      <c r="E377">
        <v>15</v>
      </c>
      <c r="F377" t="s">
        <v>77</v>
      </c>
    </row>
    <row r="378" spans="1:6" x14ac:dyDescent="0.2">
      <c r="A378" t="str">
        <f t="shared" si="5"/>
        <v>NIN12_Typ2_U_20</v>
      </c>
      <c r="B378">
        <v>1.1000000000000001</v>
      </c>
      <c r="C378">
        <v>1</v>
      </c>
      <c r="D378">
        <v>1</v>
      </c>
      <c r="E378">
        <v>20</v>
      </c>
      <c r="F378" t="s">
        <v>77</v>
      </c>
    </row>
    <row r="379" spans="1:6" x14ac:dyDescent="0.2">
      <c r="A379" t="str">
        <f t="shared" si="5"/>
        <v>NIN12_Typ2_U_25</v>
      </c>
      <c r="B379">
        <v>1</v>
      </c>
      <c r="C379">
        <v>1</v>
      </c>
      <c r="D379">
        <v>1</v>
      </c>
      <c r="E379">
        <v>25</v>
      </c>
      <c r="F379" t="s">
        <v>77</v>
      </c>
    </row>
    <row r="380" spans="1:6" x14ac:dyDescent="0.2">
      <c r="A380" t="str">
        <f t="shared" si="5"/>
        <v>NIN12_Typ2_U_30</v>
      </c>
      <c r="B380">
        <v>0.94</v>
      </c>
      <c r="C380">
        <v>1</v>
      </c>
      <c r="D380">
        <v>1</v>
      </c>
      <c r="E380">
        <v>30</v>
      </c>
      <c r="F380" t="s">
        <v>77</v>
      </c>
    </row>
    <row r="381" spans="1:6" x14ac:dyDescent="0.2">
      <c r="A381" t="str">
        <f t="shared" si="5"/>
        <v>NIN12_Typ2_U_35</v>
      </c>
      <c r="B381">
        <v>0.88</v>
      </c>
      <c r="C381">
        <v>1</v>
      </c>
      <c r="D381">
        <v>1</v>
      </c>
      <c r="E381">
        <v>35</v>
      </c>
      <c r="F381" t="s">
        <v>77</v>
      </c>
    </row>
    <row r="382" spans="1:6" x14ac:dyDescent="0.2">
      <c r="A382" t="str">
        <f t="shared" si="5"/>
        <v>NIN12_Typ2_U_40</v>
      </c>
      <c r="B382">
        <v>0.82</v>
      </c>
      <c r="C382">
        <v>1</v>
      </c>
      <c r="D382">
        <v>1</v>
      </c>
      <c r="E382">
        <v>40</v>
      </c>
      <c r="F382" t="s">
        <v>77</v>
      </c>
    </row>
    <row r="383" spans="1:6" x14ac:dyDescent="0.2">
      <c r="A383" t="str">
        <f t="shared" si="5"/>
        <v>NIN12_Typ2_U_45</v>
      </c>
      <c r="B383">
        <v>0.76</v>
      </c>
      <c r="C383">
        <v>1</v>
      </c>
      <c r="D383">
        <v>1</v>
      </c>
      <c r="E383">
        <v>45</v>
      </c>
      <c r="F383" t="s">
        <v>77</v>
      </c>
    </row>
    <row r="384" spans="1:6" x14ac:dyDescent="0.2">
      <c r="A384" t="str">
        <f t="shared" si="5"/>
        <v>NIN12_Typ2_U_50</v>
      </c>
      <c r="B384">
        <v>0.7</v>
      </c>
      <c r="C384">
        <v>1</v>
      </c>
      <c r="D384">
        <v>1</v>
      </c>
      <c r="E384">
        <v>50</v>
      </c>
      <c r="F384" t="s">
        <v>77</v>
      </c>
    </row>
    <row r="385" spans="1:6" x14ac:dyDescent="0.2">
      <c r="A385" t="str">
        <f t="shared" si="5"/>
        <v>NIN12_Typ2_U_55</v>
      </c>
      <c r="B385">
        <v>0.67</v>
      </c>
      <c r="C385">
        <v>1</v>
      </c>
      <c r="D385">
        <v>1</v>
      </c>
      <c r="E385">
        <v>55</v>
      </c>
      <c r="F385" t="s">
        <v>77</v>
      </c>
    </row>
    <row r="386" spans="1:6" x14ac:dyDescent="0.2">
      <c r="A386" t="str">
        <f t="shared" si="5"/>
        <v>NIN12_Typ2_U_60</v>
      </c>
      <c r="B386">
        <v>0.64</v>
      </c>
      <c r="C386">
        <v>1</v>
      </c>
      <c r="D386">
        <v>1</v>
      </c>
      <c r="E386">
        <v>60</v>
      </c>
      <c r="F386" t="s">
        <v>77</v>
      </c>
    </row>
    <row r="387" spans="1:6" x14ac:dyDescent="0.2">
      <c r="A387" t="str">
        <f t="shared" ref="A387:A450" si="6">IF(F387="","",CONCATENATE(F387,"_",E387))</f>
        <v>NIN12_Typ2_U_65</v>
      </c>
      <c r="B387">
        <v>0.61</v>
      </c>
      <c r="C387">
        <v>1</v>
      </c>
      <c r="D387">
        <v>1</v>
      </c>
      <c r="E387">
        <v>65</v>
      </c>
      <c r="F387" t="s">
        <v>77</v>
      </c>
    </row>
    <row r="388" spans="1:6" x14ac:dyDescent="0.2">
      <c r="A388" t="str">
        <f t="shared" si="6"/>
        <v>NIN12_Typ2_U_70</v>
      </c>
      <c r="B388">
        <v>0.57999999999999996</v>
      </c>
      <c r="C388">
        <v>1</v>
      </c>
      <c r="D388">
        <v>1</v>
      </c>
      <c r="E388">
        <v>70</v>
      </c>
      <c r="F388" t="s">
        <v>77</v>
      </c>
    </row>
    <row r="389" spans="1:6" x14ac:dyDescent="0.2">
      <c r="A389" t="str">
        <f t="shared" si="6"/>
        <v>NIN12_Typ2_U_75</v>
      </c>
      <c r="B389">
        <v>0.55000000000000004</v>
      </c>
      <c r="C389">
        <v>1</v>
      </c>
      <c r="D389">
        <v>1</v>
      </c>
      <c r="E389">
        <v>75</v>
      </c>
      <c r="F389" t="s">
        <v>77</v>
      </c>
    </row>
    <row r="390" spans="1:6" x14ac:dyDescent="0.2">
      <c r="A390" t="str">
        <f t="shared" si="6"/>
        <v>NIN12_Typ2_U_80</v>
      </c>
      <c r="B390">
        <v>0.52</v>
      </c>
      <c r="C390">
        <v>1</v>
      </c>
      <c r="D390">
        <v>1</v>
      </c>
      <c r="E390">
        <v>80</v>
      </c>
      <c r="F390" t="s">
        <v>77</v>
      </c>
    </row>
    <row r="391" spans="1:6" x14ac:dyDescent="0.2">
      <c r="A391" t="str">
        <f t="shared" si="6"/>
        <v>NIN12_Typ2_U_85</v>
      </c>
      <c r="B391">
        <v>0.49</v>
      </c>
      <c r="C391">
        <v>1</v>
      </c>
      <c r="D391">
        <v>1</v>
      </c>
      <c r="E391">
        <v>85</v>
      </c>
      <c r="F391" t="s">
        <v>77</v>
      </c>
    </row>
    <row r="392" spans="1:6" x14ac:dyDescent="0.2">
      <c r="A392" t="str">
        <f t="shared" si="6"/>
        <v>NIN12_Typ2_U_90</v>
      </c>
      <c r="B392">
        <v>0.46</v>
      </c>
      <c r="C392">
        <v>1</v>
      </c>
      <c r="D392">
        <v>1</v>
      </c>
      <c r="E392">
        <v>90</v>
      </c>
      <c r="F392" t="s">
        <v>77</v>
      </c>
    </row>
    <row r="393" spans="1:6" x14ac:dyDescent="0.2">
      <c r="A393" t="str">
        <f t="shared" si="6"/>
        <v>NIN12_Typ2_U_95</v>
      </c>
      <c r="B393">
        <v>0.43</v>
      </c>
      <c r="C393">
        <v>1</v>
      </c>
      <c r="D393">
        <v>1</v>
      </c>
      <c r="E393">
        <v>95</v>
      </c>
      <c r="F393" t="s">
        <v>77</v>
      </c>
    </row>
    <row r="394" spans="1:6" x14ac:dyDescent="0.2">
      <c r="A394" t="str">
        <f t="shared" si="6"/>
        <v>NIN12_Typ2_U_100</v>
      </c>
      <c r="B394">
        <v>0.4</v>
      </c>
      <c r="C394">
        <v>1</v>
      </c>
      <c r="D394">
        <v>1</v>
      </c>
      <c r="E394">
        <v>100</v>
      </c>
      <c r="F394" t="s">
        <v>77</v>
      </c>
    </row>
    <row r="395" spans="1:6" x14ac:dyDescent="0.2">
      <c r="A395" t="str">
        <f t="shared" si="6"/>
        <v/>
      </c>
    </row>
    <row r="396" spans="1:6" x14ac:dyDescent="0.2">
      <c r="A396" t="str">
        <f t="shared" si="6"/>
        <v>NHO12_U_5</v>
      </c>
      <c r="B396" s="122">
        <v>1.4</v>
      </c>
      <c r="C396">
        <v>1</v>
      </c>
      <c r="D396">
        <v>1</v>
      </c>
      <c r="E396">
        <v>5</v>
      </c>
      <c r="F396" t="s">
        <v>91</v>
      </c>
    </row>
    <row r="397" spans="1:6" x14ac:dyDescent="0.2">
      <c r="A397" t="str">
        <f t="shared" si="6"/>
        <v>NHO12_U_10</v>
      </c>
      <c r="B397">
        <v>1.3</v>
      </c>
      <c r="C397">
        <v>1</v>
      </c>
      <c r="D397">
        <v>1</v>
      </c>
      <c r="E397">
        <v>10</v>
      </c>
      <c r="F397" t="s">
        <v>91</v>
      </c>
    </row>
    <row r="398" spans="1:6" x14ac:dyDescent="0.2">
      <c r="A398" t="str">
        <f t="shared" si="6"/>
        <v>NHO12_U_15</v>
      </c>
      <c r="B398">
        <v>1.2</v>
      </c>
      <c r="C398">
        <v>1</v>
      </c>
      <c r="D398">
        <v>1</v>
      </c>
      <c r="E398">
        <v>15</v>
      </c>
      <c r="F398" t="s">
        <v>91</v>
      </c>
    </row>
    <row r="399" spans="1:6" x14ac:dyDescent="0.2">
      <c r="A399" t="str">
        <f t="shared" si="6"/>
        <v>NHO12_U_20</v>
      </c>
      <c r="B399">
        <v>1.1000000000000001</v>
      </c>
      <c r="C399">
        <v>1</v>
      </c>
      <c r="D399">
        <v>1</v>
      </c>
      <c r="E399">
        <v>20</v>
      </c>
      <c r="F399" t="s">
        <v>91</v>
      </c>
    </row>
    <row r="400" spans="1:6" x14ac:dyDescent="0.2">
      <c r="A400" t="str">
        <f t="shared" si="6"/>
        <v>NHO12_U_25</v>
      </c>
      <c r="B400">
        <v>1</v>
      </c>
      <c r="C400">
        <v>1</v>
      </c>
      <c r="D400">
        <v>1</v>
      </c>
      <c r="E400">
        <v>25</v>
      </c>
      <c r="F400" t="s">
        <v>91</v>
      </c>
    </row>
    <row r="401" spans="1:6" x14ac:dyDescent="0.2">
      <c r="A401" t="str">
        <f t="shared" si="6"/>
        <v>NHO12_U_30</v>
      </c>
      <c r="B401">
        <v>0.94</v>
      </c>
      <c r="C401">
        <v>1</v>
      </c>
      <c r="D401">
        <v>1</v>
      </c>
      <c r="E401">
        <v>30</v>
      </c>
      <c r="F401" t="s">
        <v>91</v>
      </c>
    </row>
    <row r="402" spans="1:6" x14ac:dyDescent="0.2">
      <c r="A402" t="str">
        <f t="shared" si="6"/>
        <v>NHO12_U_35</v>
      </c>
      <c r="B402">
        <v>0.88</v>
      </c>
      <c r="C402">
        <v>1</v>
      </c>
      <c r="D402">
        <v>1</v>
      </c>
      <c r="E402">
        <v>35</v>
      </c>
      <c r="F402" t="s">
        <v>91</v>
      </c>
    </row>
    <row r="403" spans="1:6" x14ac:dyDescent="0.2">
      <c r="A403" t="str">
        <f t="shared" si="6"/>
        <v>NHO12_U_40</v>
      </c>
      <c r="B403">
        <v>0.82</v>
      </c>
      <c r="C403">
        <v>1</v>
      </c>
      <c r="D403">
        <v>1</v>
      </c>
      <c r="E403">
        <v>40</v>
      </c>
      <c r="F403" t="s">
        <v>91</v>
      </c>
    </row>
    <row r="404" spans="1:6" x14ac:dyDescent="0.2">
      <c r="A404" t="str">
        <f t="shared" si="6"/>
        <v>NHO12_U_45</v>
      </c>
      <c r="B404">
        <v>0.76</v>
      </c>
      <c r="C404">
        <v>1</v>
      </c>
      <c r="D404">
        <v>1</v>
      </c>
      <c r="E404">
        <v>45</v>
      </c>
      <c r="F404" t="s">
        <v>91</v>
      </c>
    </row>
    <row r="405" spans="1:6" x14ac:dyDescent="0.2">
      <c r="A405" t="str">
        <f t="shared" si="6"/>
        <v>NHO12_U_50</v>
      </c>
      <c r="B405">
        <v>0.7</v>
      </c>
      <c r="C405">
        <v>1</v>
      </c>
      <c r="D405">
        <v>1</v>
      </c>
      <c r="E405">
        <v>50</v>
      </c>
      <c r="F405" t="s">
        <v>91</v>
      </c>
    </row>
    <row r="406" spans="1:6" x14ac:dyDescent="0.2">
      <c r="A406" t="str">
        <f t="shared" si="6"/>
        <v>NHO12_U_55</v>
      </c>
      <c r="B406">
        <v>0.67</v>
      </c>
      <c r="C406">
        <v>1</v>
      </c>
      <c r="D406">
        <v>1</v>
      </c>
      <c r="E406">
        <v>55</v>
      </c>
      <c r="F406" t="s">
        <v>91</v>
      </c>
    </row>
    <row r="407" spans="1:6" x14ac:dyDescent="0.2">
      <c r="A407" t="str">
        <f t="shared" si="6"/>
        <v>NHO12_U_60</v>
      </c>
      <c r="B407">
        <v>0.64</v>
      </c>
      <c r="C407">
        <v>1</v>
      </c>
      <c r="D407">
        <v>1</v>
      </c>
      <c r="E407">
        <v>60</v>
      </c>
      <c r="F407" t="s">
        <v>91</v>
      </c>
    </row>
    <row r="408" spans="1:6" x14ac:dyDescent="0.2">
      <c r="A408" t="str">
        <f t="shared" si="6"/>
        <v>NHO12_U_65</v>
      </c>
      <c r="B408">
        <v>0.61</v>
      </c>
      <c r="C408">
        <v>1</v>
      </c>
      <c r="D408">
        <v>1</v>
      </c>
      <c r="E408">
        <v>65</v>
      </c>
      <c r="F408" t="s">
        <v>91</v>
      </c>
    </row>
    <row r="409" spans="1:6" x14ac:dyDescent="0.2">
      <c r="A409" t="str">
        <f t="shared" si="6"/>
        <v>NHO12_U_70</v>
      </c>
      <c r="B409">
        <v>0.57999999999999996</v>
      </c>
      <c r="C409">
        <v>1</v>
      </c>
      <c r="D409">
        <v>1</v>
      </c>
      <c r="E409">
        <v>70</v>
      </c>
      <c r="F409" t="s">
        <v>91</v>
      </c>
    </row>
    <row r="410" spans="1:6" x14ac:dyDescent="0.2">
      <c r="A410" t="str">
        <f t="shared" si="6"/>
        <v>NHO12_U_75</v>
      </c>
      <c r="B410">
        <v>0.55000000000000004</v>
      </c>
      <c r="C410">
        <v>1</v>
      </c>
      <c r="D410">
        <v>1</v>
      </c>
      <c r="E410">
        <v>75</v>
      </c>
      <c r="F410" t="s">
        <v>91</v>
      </c>
    </row>
    <row r="411" spans="1:6" x14ac:dyDescent="0.2">
      <c r="A411" t="str">
        <f t="shared" si="6"/>
        <v>NHO12_U_80</v>
      </c>
      <c r="B411">
        <v>0.52</v>
      </c>
      <c r="C411">
        <v>1</v>
      </c>
      <c r="D411">
        <v>1</v>
      </c>
      <c r="E411">
        <v>80</v>
      </c>
      <c r="F411" t="s">
        <v>91</v>
      </c>
    </row>
    <row r="412" spans="1:6" x14ac:dyDescent="0.2">
      <c r="A412" t="str">
        <f t="shared" si="6"/>
        <v>NHO12_U_85</v>
      </c>
      <c r="B412">
        <v>0.49</v>
      </c>
      <c r="C412">
        <v>1</v>
      </c>
      <c r="D412">
        <v>1</v>
      </c>
      <c r="E412">
        <v>85</v>
      </c>
      <c r="F412" t="s">
        <v>91</v>
      </c>
    </row>
    <row r="413" spans="1:6" x14ac:dyDescent="0.2">
      <c r="A413" t="str">
        <f t="shared" si="6"/>
        <v>NHO12_U_90</v>
      </c>
      <c r="B413">
        <v>0.46</v>
      </c>
      <c r="C413">
        <v>1</v>
      </c>
      <c r="D413">
        <v>1</v>
      </c>
      <c r="E413">
        <v>90</v>
      </c>
      <c r="F413" t="s">
        <v>91</v>
      </c>
    </row>
    <row r="414" spans="1:6" x14ac:dyDescent="0.2">
      <c r="A414" t="str">
        <f t="shared" si="6"/>
        <v>NHO12_U_95</v>
      </c>
      <c r="B414">
        <v>0.43</v>
      </c>
      <c r="C414">
        <v>1</v>
      </c>
      <c r="D414">
        <v>1</v>
      </c>
      <c r="E414">
        <v>95</v>
      </c>
      <c r="F414" t="s">
        <v>91</v>
      </c>
    </row>
    <row r="415" spans="1:6" x14ac:dyDescent="0.2">
      <c r="A415" t="str">
        <f t="shared" si="6"/>
        <v>NHO12_U_100</v>
      </c>
      <c r="B415">
        <v>0.4</v>
      </c>
      <c r="C415">
        <v>1</v>
      </c>
      <c r="D415">
        <v>1</v>
      </c>
      <c r="E415">
        <v>100</v>
      </c>
      <c r="F415" t="s">
        <v>91</v>
      </c>
    </row>
    <row r="416" spans="1:6" x14ac:dyDescent="0.2">
      <c r="A416" t="str">
        <f t="shared" si="6"/>
        <v/>
      </c>
    </row>
    <row r="417" spans="1:6" x14ac:dyDescent="0.2">
      <c r="A417" t="str">
        <f t="shared" si="6"/>
        <v>NHO15_5</v>
      </c>
      <c r="B417" s="122">
        <v>1.4</v>
      </c>
      <c r="C417">
        <v>1</v>
      </c>
      <c r="D417">
        <v>1</v>
      </c>
      <c r="E417">
        <v>5</v>
      </c>
      <c r="F417" t="s">
        <v>92</v>
      </c>
    </row>
    <row r="418" spans="1:6" x14ac:dyDescent="0.2">
      <c r="A418" t="str">
        <f t="shared" si="6"/>
        <v>NHO15_10</v>
      </c>
      <c r="B418">
        <v>1.3</v>
      </c>
      <c r="C418">
        <v>1</v>
      </c>
      <c r="D418">
        <v>1</v>
      </c>
      <c r="E418">
        <v>10</v>
      </c>
      <c r="F418" t="s">
        <v>92</v>
      </c>
    </row>
    <row r="419" spans="1:6" x14ac:dyDescent="0.2">
      <c r="A419" t="str">
        <f t="shared" si="6"/>
        <v>NHO15_15</v>
      </c>
      <c r="B419">
        <v>1.2</v>
      </c>
      <c r="C419">
        <v>1</v>
      </c>
      <c r="D419">
        <v>1</v>
      </c>
      <c r="E419">
        <v>15</v>
      </c>
      <c r="F419" t="s">
        <v>92</v>
      </c>
    </row>
    <row r="420" spans="1:6" x14ac:dyDescent="0.2">
      <c r="A420" t="str">
        <f t="shared" si="6"/>
        <v>NHO15_20</v>
      </c>
      <c r="B420">
        <v>1.1000000000000001</v>
      </c>
      <c r="C420">
        <v>1</v>
      </c>
      <c r="D420">
        <v>1</v>
      </c>
      <c r="E420">
        <v>20</v>
      </c>
      <c r="F420" t="s">
        <v>92</v>
      </c>
    </row>
    <row r="421" spans="1:6" x14ac:dyDescent="0.2">
      <c r="A421" t="str">
        <f t="shared" si="6"/>
        <v>NHO15_25</v>
      </c>
      <c r="B421">
        <v>1</v>
      </c>
      <c r="C421">
        <v>1</v>
      </c>
      <c r="D421">
        <v>1</v>
      </c>
      <c r="E421">
        <v>25</v>
      </c>
      <c r="F421" t="s">
        <v>92</v>
      </c>
    </row>
    <row r="422" spans="1:6" x14ac:dyDescent="0.2">
      <c r="A422" t="str">
        <f t="shared" si="6"/>
        <v>NHO15_30</v>
      </c>
      <c r="B422">
        <v>0.94</v>
      </c>
      <c r="C422">
        <v>1</v>
      </c>
      <c r="D422">
        <v>1</v>
      </c>
      <c r="E422">
        <v>30</v>
      </c>
      <c r="F422" t="s">
        <v>92</v>
      </c>
    </row>
    <row r="423" spans="1:6" x14ac:dyDescent="0.2">
      <c r="A423" t="str">
        <f t="shared" si="6"/>
        <v>NHO15_35</v>
      </c>
      <c r="B423">
        <v>0.88</v>
      </c>
      <c r="C423">
        <v>1</v>
      </c>
      <c r="D423">
        <v>1</v>
      </c>
      <c r="E423">
        <v>35</v>
      </c>
      <c r="F423" t="s">
        <v>92</v>
      </c>
    </row>
    <row r="424" spans="1:6" x14ac:dyDescent="0.2">
      <c r="A424" t="str">
        <f t="shared" si="6"/>
        <v>NHO15_40</v>
      </c>
      <c r="B424">
        <v>0.82</v>
      </c>
      <c r="C424">
        <v>1</v>
      </c>
      <c r="D424">
        <v>1</v>
      </c>
      <c r="E424">
        <v>40</v>
      </c>
      <c r="F424" t="s">
        <v>92</v>
      </c>
    </row>
    <row r="425" spans="1:6" x14ac:dyDescent="0.2">
      <c r="A425" t="str">
        <f t="shared" si="6"/>
        <v>NHO15_45</v>
      </c>
      <c r="B425">
        <v>0.76</v>
      </c>
      <c r="C425">
        <v>1</v>
      </c>
      <c r="D425">
        <v>1</v>
      </c>
      <c r="E425">
        <v>45</v>
      </c>
      <c r="F425" t="s">
        <v>92</v>
      </c>
    </row>
    <row r="426" spans="1:6" x14ac:dyDescent="0.2">
      <c r="A426" t="str">
        <f t="shared" si="6"/>
        <v>NHO15_50</v>
      </c>
      <c r="B426">
        <v>0.7</v>
      </c>
      <c r="C426">
        <v>1</v>
      </c>
      <c r="D426">
        <v>1</v>
      </c>
      <c r="E426">
        <v>50</v>
      </c>
      <c r="F426" t="s">
        <v>92</v>
      </c>
    </row>
    <row r="427" spans="1:6" x14ac:dyDescent="0.2">
      <c r="A427" t="str">
        <f t="shared" si="6"/>
        <v>NHO15_55</v>
      </c>
      <c r="B427">
        <v>0.67</v>
      </c>
      <c r="C427">
        <v>1</v>
      </c>
      <c r="D427">
        <v>1</v>
      </c>
      <c r="E427">
        <v>55</v>
      </c>
      <c r="F427" t="s">
        <v>92</v>
      </c>
    </row>
    <row r="428" spans="1:6" x14ac:dyDescent="0.2">
      <c r="A428" t="str">
        <f t="shared" si="6"/>
        <v>NHO15_60</v>
      </c>
      <c r="B428">
        <v>0.64</v>
      </c>
      <c r="C428">
        <v>1</v>
      </c>
      <c r="D428">
        <v>1</v>
      </c>
      <c r="E428">
        <v>60</v>
      </c>
      <c r="F428" t="s">
        <v>92</v>
      </c>
    </row>
    <row r="429" spans="1:6" x14ac:dyDescent="0.2">
      <c r="A429" t="str">
        <f t="shared" si="6"/>
        <v>NHO15_65</v>
      </c>
      <c r="B429">
        <v>0.61</v>
      </c>
      <c r="C429">
        <v>1</v>
      </c>
      <c r="D429">
        <v>1</v>
      </c>
      <c r="E429">
        <v>65</v>
      </c>
      <c r="F429" t="s">
        <v>92</v>
      </c>
    </row>
    <row r="430" spans="1:6" x14ac:dyDescent="0.2">
      <c r="A430" t="str">
        <f t="shared" si="6"/>
        <v>NHO15_70</v>
      </c>
      <c r="B430">
        <v>0.57999999999999996</v>
      </c>
      <c r="C430">
        <v>1</v>
      </c>
      <c r="D430">
        <v>1</v>
      </c>
      <c r="E430">
        <v>70</v>
      </c>
      <c r="F430" t="s">
        <v>92</v>
      </c>
    </row>
    <row r="431" spans="1:6" x14ac:dyDescent="0.2">
      <c r="A431" t="str">
        <f t="shared" si="6"/>
        <v>NHO15_75</v>
      </c>
      <c r="B431">
        <v>0.55000000000000004</v>
      </c>
      <c r="C431">
        <v>1</v>
      </c>
      <c r="D431">
        <v>1</v>
      </c>
      <c r="E431">
        <v>75</v>
      </c>
      <c r="F431" t="s">
        <v>92</v>
      </c>
    </row>
    <row r="432" spans="1:6" x14ac:dyDescent="0.2">
      <c r="A432" t="str">
        <f t="shared" si="6"/>
        <v>NHO15_80</v>
      </c>
      <c r="B432">
        <v>0.52</v>
      </c>
      <c r="C432">
        <v>1</v>
      </c>
      <c r="D432">
        <v>1</v>
      </c>
      <c r="E432">
        <v>80</v>
      </c>
      <c r="F432" t="s">
        <v>92</v>
      </c>
    </row>
    <row r="433" spans="1:6" x14ac:dyDescent="0.2">
      <c r="A433" t="str">
        <f t="shared" si="6"/>
        <v>NHO15_85</v>
      </c>
      <c r="B433">
        <v>0.49</v>
      </c>
      <c r="C433">
        <v>1</v>
      </c>
      <c r="D433">
        <v>1</v>
      </c>
      <c r="E433">
        <v>85</v>
      </c>
      <c r="F433" t="s">
        <v>92</v>
      </c>
    </row>
    <row r="434" spans="1:6" x14ac:dyDescent="0.2">
      <c r="A434" t="str">
        <f t="shared" si="6"/>
        <v>NHO15_90</v>
      </c>
      <c r="B434">
        <v>0.46</v>
      </c>
      <c r="C434">
        <v>1</v>
      </c>
      <c r="D434">
        <v>1</v>
      </c>
      <c r="E434">
        <v>90</v>
      </c>
      <c r="F434" t="s">
        <v>92</v>
      </c>
    </row>
    <row r="435" spans="1:6" x14ac:dyDescent="0.2">
      <c r="A435" t="str">
        <f t="shared" si="6"/>
        <v>NHO15_95</v>
      </c>
      <c r="B435">
        <v>0.43</v>
      </c>
      <c r="C435">
        <v>1</v>
      </c>
      <c r="D435">
        <v>1</v>
      </c>
      <c r="E435">
        <v>95</v>
      </c>
      <c r="F435" t="s">
        <v>92</v>
      </c>
    </row>
    <row r="436" spans="1:6" x14ac:dyDescent="0.2">
      <c r="A436" t="str">
        <f t="shared" si="6"/>
        <v>NHO15_100</v>
      </c>
      <c r="B436">
        <v>0.4</v>
      </c>
      <c r="C436">
        <v>1</v>
      </c>
      <c r="D436">
        <v>1</v>
      </c>
      <c r="E436">
        <v>100</v>
      </c>
      <c r="F436" t="s">
        <v>92</v>
      </c>
    </row>
    <row r="437" spans="1:6" x14ac:dyDescent="0.2">
      <c r="A437" t="str">
        <f t="shared" si="6"/>
        <v>NHO15_110</v>
      </c>
      <c r="B437">
        <v>0.4</v>
      </c>
      <c r="C437">
        <v>1</v>
      </c>
      <c r="D437">
        <v>0.75</v>
      </c>
      <c r="E437">
        <v>110</v>
      </c>
      <c r="F437" t="s">
        <v>92</v>
      </c>
    </row>
    <row r="438" spans="1:6" x14ac:dyDescent="0.2">
      <c r="A438" t="str">
        <f t="shared" si="6"/>
        <v>NHO15_120</v>
      </c>
      <c r="B438">
        <v>0.4</v>
      </c>
      <c r="C438">
        <v>1</v>
      </c>
      <c r="D438">
        <v>0.5</v>
      </c>
      <c r="E438">
        <v>120</v>
      </c>
      <c r="F438" t="s">
        <v>92</v>
      </c>
    </row>
    <row r="439" spans="1:6" x14ac:dyDescent="0.2">
      <c r="A439" t="str">
        <f t="shared" si="6"/>
        <v/>
      </c>
    </row>
    <row r="440" spans="1:6" x14ac:dyDescent="0.2">
      <c r="A440" t="str">
        <f t="shared" si="6"/>
        <v>NGB13_5</v>
      </c>
      <c r="B440" s="122">
        <v>1.4</v>
      </c>
      <c r="C440">
        <v>1</v>
      </c>
      <c r="D440">
        <v>1</v>
      </c>
      <c r="E440">
        <v>5</v>
      </c>
      <c r="F440" t="s">
        <v>93</v>
      </c>
    </row>
    <row r="441" spans="1:6" x14ac:dyDescent="0.2">
      <c r="A441" t="str">
        <f t="shared" si="6"/>
        <v>NGB13_10</v>
      </c>
      <c r="B441">
        <v>1.3</v>
      </c>
      <c r="C441">
        <v>1</v>
      </c>
      <c r="D441">
        <v>1</v>
      </c>
      <c r="E441">
        <v>10</v>
      </c>
      <c r="F441" t="s">
        <v>93</v>
      </c>
    </row>
    <row r="442" spans="1:6" x14ac:dyDescent="0.2">
      <c r="A442" t="str">
        <f t="shared" si="6"/>
        <v>NGB13_15</v>
      </c>
      <c r="B442">
        <v>1.2</v>
      </c>
      <c r="C442">
        <v>1</v>
      </c>
      <c r="D442">
        <v>1</v>
      </c>
      <c r="E442">
        <v>15</v>
      </c>
      <c r="F442" t="s">
        <v>93</v>
      </c>
    </row>
    <row r="443" spans="1:6" x14ac:dyDescent="0.2">
      <c r="A443" t="str">
        <f t="shared" si="6"/>
        <v>NGB13_20</v>
      </c>
      <c r="B443">
        <v>1.1000000000000001</v>
      </c>
      <c r="C443">
        <v>1</v>
      </c>
      <c r="D443">
        <v>1</v>
      </c>
      <c r="E443">
        <v>20</v>
      </c>
      <c r="F443" t="s">
        <v>93</v>
      </c>
    </row>
    <row r="444" spans="1:6" x14ac:dyDescent="0.2">
      <c r="A444" t="str">
        <f t="shared" si="6"/>
        <v>NGB13_25</v>
      </c>
      <c r="B444">
        <v>1</v>
      </c>
      <c r="C444">
        <v>1</v>
      </c>
      <c r="D444">
        <v>1</v>
      </c>
      <c r="E444">
        <v>25</v>
      </c>
      <c r="F444" t="s">
        <v>93</v>
      </c>
    </row>
    <row r="445" spans="1:6" x14ac:dyDescent="0.2">
      <c r="A445" t="str">
        <f t="shared" si="6"/>
        <v>NGB13_30</v>
      </c>
      <c r="B445">
        <v>0.94</v>
      </c>
      <c r="C445">
        <v>1</v>
      </c>
      <c r="D445">
        <v>1</v>
      </c>
      <c r="E445">
        <v>30</v>
      </c>
      <c r="F445" t="s">
        <v>93</v>
      </c>
    </row>
    <row r="446" spans="1:6" x14ac:dyDescent="0.2">
      <c r="A446" t="str">
        <f t="shared" si="6"/>
        <v>NGB13_35</v>
      </c>
      <c r="B446">
        <v>0.88</v>
      </c>
      <c r="C446">
        <v>1</v>
      </c>
      <c r="D446">
        <v>1</v>
      </c>
      <c r="E446">
        <v>35</v>
      </c>
      <c r="F446" t="s">
        <v>93</v>
      </c>
    </row>
    <row r="447" spans="1:6" x14ac:dyDescent="0.2">
      <c r="A447" t="str">
        <f t="shared" si="6"/>
        <v>NGB13_40</v>
      </c>
      <c r="B447">
        <v>0.82</v>
      </c>
      <c r="C447">
        <v>1</v>
      </c>
      <c r="D447">
        <v>1</v>
      </c>
      <c r="E447">
        <v>40</v>
      </c>
      <c r="F447" t="s">
        <v>93</v>
      </c>
    </row>
    <row r="448" spans="1:6" x14ac:dyDescent="0.2">
      <c r="A448" t="str">
        <f t="shared" si="6"/>
        <v>NGB13_45</v>
      </c>
      <c r="B448">
        <v>0.76</v>
      </c>
      <c r="C448">
        <v>1</v>
      </c>
      <c r="D448">
        <v>1</v>
      </c>
      <c r="E448">
        <v>45</v>
      </c>
      <c r="F448" t="s">
        <v>93</v>
      </c>
    </row>
    <row r="449" spans="1:6" x14ac:dyDescent="0.2">
      <c r="A449" t="str">
        <f t="shared" si="6"/>
        <v>NGB13_50</v>
      </c>
      <c r="B449">
        <v>0.7</v>
      </c>
      <c r="C449">
        <v>1</v>
      </c>
      <c r="D449">
        <v>1</v>
      </c>
      <c r="E449">
        <v>50</v>
      </c>
      <c r="F449" t="s">
        <v>93</v>
      </c>
    </row>
    <row r="450" spans="1:6" x14ac:dyDescent="0.2">
      <c r="A450" t="str">
        <f t="shared" si="6"/>
        <v>NGB13_55</v>
      </c>
      <c r="B450">
        <v>0.67</v>
      </c>
      <c r="C450">
        <v>1</v>
      </c>
      <c r="D450">
        <v>1</v>
      </c>
      <c r="E450">
        <v>55</v>
      </c>
      <c r="F450" t="s">
        <v>93</v>
      </c>
    </row>
    <row r="451" spans="1:6" x14ac:dyDescent="0.2">
      <c r="A451" t="str">
        <f t="shared" ref="A451:A532" si="7">IF(F451="","",CONCATENATE(F451,"_",E451))</f>
        <v>NGB13_60</v>
      </c>
      <c r="B451">
        <v>0.64</v>
      </c>
      <c r="C451">
        <v>1</v>
      </c>
      <c r="D451">
        <v>1</v>
      </c>
      <c r="E451">
        <v>60</v>
      </c>
      <c r="F451" t="s">
        <v>93</v>
      </c>
    </row>
    <row r="452" spans="1:6" x14ac:dyDescent="0.2">
      <c r="A452" t="str">
        <f t="shared" si="7"/>
        <v>NGB13_65</v>
      </c>
      <c r="B452">
        <v>0.61</v>
      </c>
      <c r="C452">
        <v>1</v>
      </c>
      <c r="D452">
        <v>1</v>
      </c>
      <c r="E452">
        <v>65</v>
      </c>
      <c r="F452" t="s">
        <v>93</v>
      </c>
    </row>
    <row r="453" spans="1:6" x14ac:dyDescent="0.2">
      <c r="A453" t="str">
        <f t="shared" si="7"/>
        <v>NGB13_70</v>
      </c>
      <c r="B453">
        <v>0.57999999999999996</v>
      </c>
      <c r="C453">
        <v>1</v>
      </c>
      <c r="D453">
        <v>1</v>
      </c>
      <c r="E453">
        <v>70</v>
      </c>
      <c r="F453" t="s">
        <v>93</v>
      </c>
    </row>
    <row r="454" spans="1:6" x14ac:dyDescent="0.2">
      <c r="A454" t="str">
        <f t="shared" si="7"/>
        <v>NGB13_75</v>
      </c>
      <c r="B454">
        <v>0.55000000000000004</v>
      </c>
      <c r="C454">
        <v>1</v>
      </c>
      <c r="D454">
        <v>1</v>
      </c>
      <c r="E454">
        <v>75</v>
      </c>
      <c r="F454" t="s">
        <v>93</v>
      </c>
    </row>
    <row r="455" spans="1:6" x14ac:dyDescent="0.2">
      <c r="A455" t="str">
        <f t="shared" si="7"/>
        <v>NGB13_80</v>
      </c>
      <c r="B455">
        <v>0.52</v>
      </c>
      <c r="C455">
        <v>1</v>
      </c>
      <c r="D455">
        <v>1</v>
      </c>
      <c r="E455">
        <v>80</v>
      </c>
      <c r="F455" t="s">
        <v>93</v>
      </c>
    </row>
    <row r="456" spans="1:6" x14ac:dyDescent="0.2">
      <c r="A456" t="str">
        <f t="shared" si="7"/>
        <v>NGB13_85</v>
      </c>
      <c r="B456">
        <v>0.49</v>
      </c>
      <c r="C456">
        <v>1</v>
      </c>
      <c r="D456">
        <v>1</v>
      </c>
      <c r="E456">
        <v>85</v>
      </c>
      <c r="F456" t="s">
        <v>93</v>
      </c>
    </row>
    <row r="457" spans="1:6" x14ac:dyDescent="0.2">
      <c r="A457" t="str">
        <f t="shared" si="7"/>
        <v>NGB13_90</v>
      </c>
      <c r="B457">
        <v>0.46</v>
      </c>
      <c r="C457">
        <v>1</v>
      </c>
      <c r="D457">
        <v>1</v>
      </c>
      <c r="E457">
        <v>90</v>
      </c>
      <c r="F457" t="s">
        <v>93</v>
      </c>
    </row>
    <row r="458" spans="1:6" x14ac:dyDescent="0.2">
      <c r="A458" t="str">
        <f t="shared" si="7"/>
        <v>NGB13_95</v>
      </c>
      <c r="B458">
        <v>0.43</v>
      </c>
      <c r="C458">
        <v>1</v>
      </c>
      <c r="D458">
        <v>1</v>
      </c>
      <c r="E458">
        <v>95</v>
      </c>
      <c r="F458" t="s">
        <v>93</v>
      </c>
    </row>
    <row r="459" spans="1:6" x14ac:dyDescent="0.2">
      <c r="A459" t="str">
        <f t="shared" si="7"/>
        <v>NGB13_100</v>
      </c>
      <c r="B459">
        <v>0.4</v>
      </c>
      <c r="C459">
        <v>1</v>
      </c>
      <c r="D459">
        <v>1</v>
      </c>
      <c r="E459">
        <v>100</v>
      </c>
      <c r="F459" t="s">
        <v>93</v>
      </c>
    </row>
    <row r="460" spans="1:6" x14ac:dyDescent="0.2">
      <c r="A460" t="str">
        <f t="shared" si="7"/>
        <v/>
      </c>
    </row>
    <row r="461" spans="1:6" x14ac:dyDescent="0.2">
      <c r="A461" t="str">
        <f t="shared" si="7"/>
        <v>NBV18_0</v>
      </c>
      <c r="B461">
        <v>1.4</v>
      </c>
      <c r="C461">
        <v>1</v>
      </c>
      <c r="D461">
        <v>1</v>
      </c>
      <c r="E461">
        <v>0</v>
      </c>
      <c r="F461" t="s">
        <v>94</v>
      </c>
    </row>
    <row r="462" spans="1:6" x14ac:dyDescent="0.2">
      <c r="A462" t="str">
        <f t="shared" si="7"/>
        <v>NBV18_30</v>
      </c>
      <c r="B462">
        <v>1.1000000000000001</v>
      </c>
      <c r="C462">
        <v>1</v>
      </c>
      <c r="D462">
        <v>1</v>
      </c>
      <c r="E462">
        <v>30</v>
      </c>
      <c r="F462" t="s">
        <v>94</v>
      </c>
    </row>
    <row r="463" spans="1:6" x14ac:dyDescent="0.2">
      <c r="A463" t="str">
        <f t="shared" si="7"/>
        <v>NBV18_40</v>
      </c>
      <c r="B463">
        <v>1</v>
      </c>
      <c r="C463">
        <v>1</v>
      </c>
      <c r="D463">
        <v>1</v>
      </c>
      <c r="E463">
        <v>40</v>
      </c>
      <c r="F463" t="s">
        <v>94</v>
      </c>
    </row>
    <row r="464" spans="1:6" x14ac:dyDescent="0.2">
      <c r="A464" t="str">
        <f t="shared" si="7"/>
        <v>NBV18_60</v>
      </c>
      <c r="B464">
        <v>0.85</v>
      </c>
      <c r="C464">
        <v>1</v>
      </c>
      <c r="D464">
        <v>1</v>
      </c>
      <c r="E464">
        <v>60</v>
      </c>
      <c r="F464" t="s">
        <v>94</v>
      </c>
    </row>
    <row r="465" spans="1:6" x14ac:dyDescent="0.2">
      <c r="A465" t="str">
        <f t="shared" si="7"/>
        <v>NBV18_80</v>
      </c>
      <c r="B465">
        <v>0.7</v>
      </c>
      <c r="C465">
        <v>1</v>
      </c>
      <c r="D465">
        <v>1</v>
      </c>
      <c r="E465">
        <v>80</v>
      </c>
      <c r="F465" t="s">
        <v>94</v>
      </c>
    </row>
    <row r="466" spans="1:6" x14ac:dyDescent="0.2">
      <c r="A466" t="str">
        <f t="shared" si="7"/>
        <v>NBV18_100</v>
      </c>
      <c r="B466">
        <v>0.55000000000000004</v>
      </c>
      <c r="C466">
        <v>1</v>
      </c>
      <c r="D466">
        <v>1</v>
      </c>
      <c r="E466">
        <v>100</v>
      </c>
      <c r="F466" t="s">
        <v>94</v>
      </c>
    </row>
    <row r="467" spans="1:6" x14ac:dyDescent="0.2">
      <c r="A467" t="str">
        <f t="shared" si="7"/>
        <v/>
      </c>
    </row>
    <row r="468" spans="1:6" x14ac:dyDescent="0.2">
      <c r="A468" t="str">
        <f t="shared" si="7"/>
        <v>NBI18_0</v>
      </c>
      <c r="B468">
        <v>1.4</v>
      </c>
      <c r="C468">
        <v>1</v>
      </c>
      <c r="D468">
        <v>1</v>
      </c>
      <c r="E468">
        <v>0</v>
      </c>
      <c r="F468" t="s">
        <v>95</v>
      </c>
    </row>
    <row r="469" spans="1:6" x14ac:dyDescent="0.2">
      <c r="A469" t="str">
        <f t="shared" si="7"/>
        <v>NBI18_30</v>
      </c>
      <c r="B469">
        <v>1.1000000000000001</v>
      </c>
      <c r="C469">
        <v>1</v>
      </c>
      <c r="D469">
        <v>1</v>
      </c>
      <c r="E469">
        <v>30</v>
      </c>
      <c r="F469" t="s">
        <v>95</v>
      </c>
    </row>
    <row r="470" spans="1:6" x14ac:dyDescent="0.2">
      <c r="A470" t="str">
        <f t="shared" si="7"/>
        <v>NBI18_40</v>
      </c>
      <c r="B470">
        <v>1</v>
      </c>
      <c r="C470">
        <v>1</v>
      </c>
      <c r="D470">
        <v>1</v>
      </c>
      <c r="E470">
        <v>40</v>
      </c>
      <c r="F470" t="s">
        <v>95</v>
      </c>
    </row>
    <row r="471" spans="1:6" x14ac:dyDescent="0.2">
      <c r="A471" t="str">
        <f t="shared" si="7"/>
        <v>NBI18_60</v>
      </c>
      <c r="B471">
        <v>0.85</v>
      </c>
      <c r="C471">
        <v>1</v>
      </c>
      <c r="D471">
        <v>1</v>
      </c>
      <c r="E471">
        <v>60</v>
      </c>
      <c r="F471" t="s">
        <v>95</v>
      </c>
    </row>
    <row r="472" spans="1:6" x14ac:dyDescent="0.2">
      <c r="A472" t="str">
        <f t="shared" si="7"/>
        <v>NBI18_80</v>
      </c>
      <c r="B472">
        <v>0.7</v>
      </c>
      <c r="C472">
        <v>1</v>
      </c>
      <c r="D472">
        <v>1</v>
      </c>
      <c r="E472">
        <v>80</v>
      </c>
      <c r="F472" t="s">
        <v>95</v>
      </c>
    </row>
    <row r="473" spans="1:6" x14ac:dyDescent="0.2">
      <c r="A473" t="str">
        <f t="shared" si="7"/>
        <v>NBI18_100</v>
      </c>
      <c r="B473">
        <v>0.55000000000000004</v>
      </c>
      <c r="C473">
        <v>1</v>
      </c>
      <c r="D473">
        <v>1</v>
      </c>
      <c r="E473">
        <v>100</v>
      </c>
      <c r="F473" t="s">
        <v>95</v>
      </c>
    </row>
    <row r="474" spans="1:6" x14ac:dyDescent="0.2">
      <c r="A474" t="str">
        <f t="shared" si="7"/>
        <v/>
      </c>
    </row>
    <row r="475" spans="1:6" x14ac:dyDescent="0.2">
      <c r="A475" t="str">
        <f t="shared" si="7"/>
        <v>NWO18_0</v>
      </c>
      <c r="B475">
        <v>1.4</v>
      </c>
      <c r="C475">
        <v>1</v>
      </c>
      <c r="D475">
        <v>1</v>
      </c>
      <c r="E475">
        <v>0</v>
      </c>
      <c r="F475" t="s">
        <v>96</v>
      </c>
    </row>
    <row r="476" spans="1:6" x14ac:dyDescent="0.2">
      <c r="A476" t="str">
        <f t="shared" si="7"/>
        <v>NWO18_30</v>
      </c>
      <c r="B476">
        <v>1.1000000000000001</v>
      </c>
      <c r="C476">
        <v>1</v>
      </c>
      <c r="D476">
        <v>1</v>
      </c>
      <c r="E476">
        <v>30</v>
      </c>
      <c r="F476" t="s">
        <v>96</v>
      </c>
    </row>
    <row r="477" spans="1:6" x14ac:dyDescent="0.2">
      <c r="A477" t="str">
        <f t="shared" si="7"/>
        <v>NWO18_40</v>
      </c>
      <c r="B477">
        <v>1</v>
      </c>
      <c r="C477">
        <v>1</v>
      </c>
      <c r="D477">
        <v>1</v>
      </c>
      <c r="E477">
        <v>40</v>
      </c>
      <c r="F477" t="s">
        <v>96</v>
      </c>
    </row>
    <row r="478" spans="1:6" x14ac:dyDescent="0.2">
      <c r="A478" t="str">
        <f t="shared" si="7"/>
        <v>NWO18_60</v>
      </c>
      <c r="B478">
        <v>0.85</v>
      </c>
      <c r="C478">
        <v>1</v>
      </c>
      <c r="D478">
        <v>1</v>
      </c>
      <c r="E478">
        <v>60</v>
      </c>
      <c r="F478" t="s">
        <v>96</v>
      </c>
    </row>
    <row r="479" spans="1:6" x14ac:dyDescent="0.2">
      <c r="A479" t="str">
        <f t="shared" si="7"/>
        <v>NWO18_80</v>
      </c>
      <c r="B479">
        <v>0.7</v>
      </c>
      <c r="C479">
        <v>1</v>
      </c>
      <c r="D479">
        <v>1</v>
      </c>
      <c r="E479">
        <v>80</v>
      </c>
      <c r="F479" t="s">
        <v>96</v>
      </c>
    </row>
    <row r="480" spans="1:6" x14ac:dyDescent="0.2">
      <c r="A480" t="str">
        <f t="shared" si="7"/>
        <v>NWO18_100</v>
      </c>
      <c r="B480">
        <v>0.55000000000000004</v>
      </c>
      <c r="C480">
        <v>1</v>
      </c>
      <c r="D480">
        <v>1</v>
      </c>
      <c r="E480">
        <v>100</v>
      </c>
      <c r="F480" t="s">
        <v>96</v>
      </c>
    </row>
    <row r="481" spans="1:6" x14ac:dyDescent="0.2">
      <c r="A481" t="str">
        <f t="shared" si="7"/>
        <v/>
      </c>
    </row>
    <row r="482" spans="1:6" x14ac:dyDescent="0.2">
      <c r="A482" t="str">
        <f t="shared" si="7"/>
        <v>NHO18_0</v>
      </c>
      <c r="B482">
        <v>1.4</v>
      </c>
      <c r="C482">
        <v>1</v>
      </c>
      <c r="D482">
        <v>1</v>
      </c>
      <c r="E482">
        <v>0</v>
      </c>
      <c r="F482" t="s">
        <v>97</v>
      </c>
    </row>
    <row r="483" spans="1:6" x14ac:dyDescent="0.2">
      <c r="A483" t="str">
        <f t="shared" si="7"/>
        <v>NHO18_30</v>
      </c>
      <c r="B483">
        <v>1.1000000000000001</v>
      </c>
      <c r="C483">
        <v>1</v>
      </c>
      <c r="D483">
        <v>1</v>
      </c>
      <c r="E483">
        <v>30</v>
      </c>
      <c r="F483" t="s">
        <v>97</v>
      </c>
    </row>
    <row r="484" spans="1:6" x14ac:dyDescent="0.2">
      <c r="A484" t="str">
        <f t="shared" si="7"/>
        <v>NHO18_40</v>
      </c>
      <c r="B484">
        <v>1</v>
      </c>
      <c r="C484">
        <v>1</v>
      </c>
      <c r="D484">
        <v>1</v>
      </c>
      <c r="E484">
        <v>40</v>
      </c>
      <c r="F484" t="s">
        <v>97</v>
      </c>
    </row>
    <row r="485" spans="1:6" x14ac:dyDescent="0.2">
      <c r="A485" t="str">
        <f t="shared" si="7"/>
        <v>NHO18_60</v>
      </c>
      <c r="B485">
        <v>0.85</v>
      </c>
      <c r="C485">
        <v>1</v>
      </c>
      <c r="D485">
        <v>1</v>
      </c>
      <c r="E485">
        <v>60</v>
      </c>
      <c r="F485" t="s">
        <v>97</v>
      </c>
    </row>
    <row r="486" spans="1:6" x14ac:dyDescent="0.2">
      <c r="A486" t="str">
        <f t="shared" si="7"/>
        <v>NHO18_80</v>
      </c>
      <c r="B486">
        <v>0.7</v>
      </c>
      <c r="C486">
        <v>1</v>
      </c>
      <c r="D486">
        <v>1</v>
      </c>
      <c r="E486">
        <v>80</v>
      </c>
      <c r="F486" t="s">
        <v>97</v>
      </c>
    </row>
    <row r="487" spans="1:6" x14ac:dyDescent="0.2">
      <c r="A487" t="str">
        <f t="shared" si="7"/>
        <v>NHO18_100</v>
      </c>
      <c r="B487">
        <v>0.55000000000000004</v>
      </c>
      <c r="C487">
        <v>1</v>
      </c>
      <c r="D487">
        <v>1</v>
      </c>
      <c r="E487">
        <v>100</v>
      </c>
      <c r="F487" t="s">
        <v>97</v>
      </c>
    </row>
    <row r="488" spans="1:6" x14ac:dyDescent="0.2">
      <c r="A488" t="str">
        <f t="shared" si="7"/>
        <v/>
      </c>
    </row>
    <row r="489" spans="1:6" x14ac:dyDescent="0.2">
      <c r="A489" t="str">
        <f t="shared" si="7"/>
        <v>NVM18_0</v>
      </c>
      <c r="B489">
        <v>1.4</v>
      </c>
      <c r="C489">
        <v>1</v>
      </c>
      <c r="D489">
        <v>1</v>
      </c>
      <c r="E489">
        <v>0</v>
      </c>
      <c r="F489" t="s">
        <v>98</v>
      </c>
    </row>
    <row r="490" spans="1:6" x14ac:dyDescent="0.2">
      <c r="A490" t="str">
        <f t="shared" si="7"/>
        <v>NVM18_30</v>
      </c>
      <c r="B490">
        <v>1.1000000000000001</v>
      </c>
      <c r="C490">
        <v>1</v>
      </c>
      <c r="D490">
        <v>1</v>
      </c>
      <c r="E490">
        <v>30</v>
      </c>
      <c r="F490" t="s">
        <v>98</v>
      </c>
    </row>
    <row r="491" spans="1:6" x14ac:dyDescent="0.2">
      <c r="A491" t="str">
        <f t="shared" si="7"/>
        <v>NVM18_40</v>
      </c>
      <c r="B491">
        <v>1</v>
      </c>
      <c r="C491">
        <v>1</v>
      </c>
      <c r="D491">
        <v>1</v>
      </c>
      <c r="E491">
        <v>40</v>
      </c>
      <c r="F491" t="s">
        <v>98</v>
      </c>
    </row>
    <row r="492" spans="1:6" x14ac:dyDescent="0.2">
      <c r="A492" t="str">
        <f t="shared" si="7"/>
        <v>NVM18_60</v>
      </c>
      <c r="B492">
        <v>0.85</v>
      </c>
      <c r="C492">
        <v>1</v>
      </c>
      <c r="D492">
        <v>1</v>
      </c>
      <c r="E492">
        <v>60</v>
      </c>
      <c r="F492" t="s">
        <v>98</v>
      </c>
    </row>
    <row r="493" spans="1:6" x14ac:dyDescent="0.2">
      <c r="A493" t="str">
        <f t="shared" si="7"/>
        <v>NVM18_80</v>
      </c>
      <c r="B493">
        <v>0.7</v>
      </c>
      <c r="C493">
        <v>1</v>
      </c>
      <c r="D493">
        <v>1</v>
      </c>
      <c r="E493">
        <v>80</v>
      </c>
      <c r="F493" t="s">
        <v>98</v>
      </c>
    </row>
    <row r="494" spans="1:6" x14ac:dyDescent="0.2">
      <c r="A494" t="str">
        <f t="shared" si="7"/>
        <v>NVM18_100</v>
      </c>
      <c r="B494">
        <v>0.55000000000000004</v>
      </c>
      <c r="C494">
        <v>1</v>
      </c>
      <c r="D494">
        <v>1</v>
      </c>
      <c r="E494">
        <v>100</v>
      </c>
      <c r="F494" t="s">
        <v>98</v>
      </c>
    </row>
    <row r="495" spans="1:6" x14ac:dyDescent="0.2">
      <c r="A495" t="str">
        <f t="shared" si="7"/>
        <v/>
      </c>
    </row>
    <row r="496" spans="1:6" x14ac:dyDescent="0.2">
      <c r="A496" t="str">
        <f t="shared" si="7"/>
        <v>NSC18_0</v>
      </c>
      <c r="B496">
        <v>1.4</v>
      </c>
      <c r="C496">
        <v>1</v>
      </c>
      <c r="D496">
        <v>1</v>
      </c>
      <c r="E496">
        <v>0</v>
      </c>
      <c r="F496" t="s">
        <v>99</v>
      </c>
    </row>
    <row r="497" spans="1:6" x14ac:dyDescent="0.2">
      <c r="A497" t="str">
        <f t="shared" si="7"/>
        <v>NSC18_30</v>
      </c>
      <c r="B497">
        <v>1.1000000000000001</v>
      </c>
      <c r="C497">
        <v>1</v>
      </c>
      <c r="D497">
        <v>1</v>
      </c>
      <c r="E497">
        <v>30</v>
      </c>
      <c r="F497" t="s">
        <v>99</v>
      </c>
    </row>
    <row r="498" spans="1:6" x14ac:dyDescent="0.2">
      <c r="A498" t="str">
        <f t="shared" si="7"/>
        <v>NSC18_40</v>
      </c>
      <c r="B498">
        <v>1</v>
      </c>
      <c r="C498">
        <v>1</v>
      </c>
      <c r="D498">
        <v>1</v>
      </c>
      <c r="E498">
        <v>40</v>
      </c>
      <c r="F498" t="s">
        <v>99</v>
      </c>
    </row>
    <row r="499" spans="1:6" x14ac:dyDescent="0.2">
      <c r="A499" t="str">
        <f t="shared" si="7"/>
        <v>NSC18_60</v>
      </c>
      <c r="B499">
        <v>0.85</v>
      </c>
      <c r="C499">
        <v>1</v>
      </c>
      <c r="D499">
        <v>1</v>
      </c>
      <c r="E499">
        <v>60</v>
      </c>
      <c r="F499" t="s">
        <v>99</v>
      </c>
    </row>
    <row r="500" spans="1:6" x14ac:dyDescent="0.2">
      <c r="A500" t="str">
        <f t="shared" si="7"/>
        <v>NSC18_80</v>
      </c>
      <c r="B500">
        <v>0.7</v>
      </c>
      <c r="C500">
        <v>1</v>
      </c>
      <c r="D500">
        <v>1</v>
      </c>
      <c r="E500">
        <v>80</v>
      </c>
      <c r="F500" t="s">
        <v>99</v>
      </c>
    </row>
    <row r="501" spans="1:6" x14ac:dyDescent="0.2">
      <c r="A501" t="str">
        <f t="shared" si="7"/>
        <v>NSC18_100</v>
      </c>
      <c r="B501">
        <v>0.55000000000000004</v>
      </c>
      <c r="C501">
        <v>1</v>
      </c>
      <c r="D501">
        <v>1</v>
      </c>
      <c r="E501">
        <v>100</v>
      </c>
      <c r="F501" t="s">
        <v>99</v>
      </c>
    </row>
    <row r="502" spans="1:6" x14ac:dyDescent="0.2">
      <c r="A502" t="str">
        <f t="shared" si="7"/>
        <v/>
      </c>
    </row>
    <row r="503" spans="1:6" x14ac:dyDescent="0.2">
      <c r="A503" t="str">
        <f t="shared" si="7"/>
        <v>NGH18_0</v>
      </c>
      <c r="B503">
        <v>1.4</v>
      </c>
      <c r="C503">
        <v>1</v>
      </c>
      <c r="D503">
        <v>1</v>
      </c>
      <c r="E503">
        <v>0</v>
      </c>
      <c r="F503" t="s">
        <v>100</v>
      </c>
    </row>
    <row r="504" spans="1:6" x14ac:dyDescent="0.2">
      <c r="A504" t="str">
        <f t="shared" si="7"/>
        <v>NGH18_30</v>
      </c>
      <c r="B504">
        <v>1.1000000000000001</v>
      </c>
      <c r="C504">
        <v>1</v>
      </c>
      <c r="D504">
        <v>1</v>
      </c>
      <c r="E504">
        <v>30</v>
      </c>
      <c r="F504" t="s">
        <v>100</v>
      </c>
    </row>
    <row r="505" spans="1:6" x14ac:dyDescent="0.2">
      <c r="A505" t="str">
        <f t="shared" si="7"/>
        <v>NGH18_40</v>
      </c>
      <c r="B505">
        <v>1</v>
      </c>
      <c r="C505">
        <v>1</v>
      </c>
      <c r="D505">
        <v>1</v>
      </c>
      <c r="E505">
        <v>40</v>
      </c>
      <c r="F505" t="s">
        <v>100</v>
      </c>
    </row>
    <row r="506" spans="1:6" x14ac:dyDescent="0.2">
      <c r="A506" t="str">
        <f t="shared" si="7"/>
        <v>NGH18_60</v>
      </c>
      <c r="B506">
        <v>0.85</v>
      </c>
      <c r="C506">
        <v>1</v>
      </c>
      <c r="D506">
        <v>1</v>
      </c>
      <c r="E506">
        <v>60</v>
      </c>
      <c r="F506" t="s">
        <v>100</v>
      </c>
    </row>
    <row r="507" spans="1:6" x14ac:dyDescent="0.2">
      <c r="A507" t="str">
        <f t="shared" si="7"/>
        <v>NGH18_80</v>
      </c>
      <c r="B507">
        <v>0.7</v>
      </c>
      <c r="C507">
        <v>1</v>
      </c>
      <c r="D507">
        <v>1</v>
      </c>
      <c r="E507">
        <v>80</v>
      </c>
      <c r="F507" t="s">
        <v>100</v>
      </c>
    </row>
    <row r="508" spans="1:6" x14ac:dyDescent="0.2">
      <c r="A508" t="str">
        <f t="shared" si="7"/>
        <v>NGH18_100</v>
      </c>
      <c r="B508">
        <v>0.55000000000000004</v>
      </c>
      <c r="C508">
        <v>1</v>
      </c>
      <c r="D508">
        <v>1</v>
      </c>
      <c r="E508">
        <v>100</v>
      </c>
      <c r="F508" t="s">
        <v>100</v>
      </c>
    </row>
    <row r="509" spans="1:6" x14ac:dyDescent="0.2">
      <c r="A509" t="str">
        <f t="shared" si="7"/>
        <v/>
      </c>
    </row>
    <row r="510" spans="1:6" x14ac:dyDescent="0.2">
      <c r="A510" t="str">
        <f t="shared" si="7"/>
        <v>NLO18_0</v>
      </c>
      <c r="B510">
        <v>1.4</v>
      </c>
      <c r="C510">
        <v>1</v>
      </c>
      <c r="D510">
        <v>1</v>
      </c>
      <c r="E510">
        <v>0</v>
      </c>
      <c r="F510" t="s">
        <v>79</v>
      </c>
    </row>
    <row r="511" spans="1:6" x14ac:dyDescent="0.2">
      <c r="A511" t="str">
        <f t="shared" si="7"/>
        <v>NLO18_30</v>
      </c>
      <c r="B511">
        <v>1.1000000000000001</v>
      </c>
      <c r="C511">
        <v>1</v>
      </c>
      <c r="D511">
        <v>1</v>
      </c>
      <c r="E511">
        <v>30</v>
      </c>
      <c r="F511" t="s">
        <v>79</v>
      </c>
    </row>
    <row r="512" spans="1:6" x14ac:dyDescent="0.2">
      <c r="A512" t="str">
        <f t="shared" si="7"/>
        <v>NLO18_40</v>
      </c>
      <c r="B512">
        <v>1</v>
      </c>
      <c r="C512">
        <v>1</v>
      </c>
      <c r="D512">
        <v>1</v>
      </c>
      <c r="E512">
        <v>40</v>
      </c>
      <c r="F512" t="s">
        <v>79</v>
      </c>
    </row>
    <row r="513" spans="1:6" x14ac:dyDescent="0.2">
      <c r="A513" t="str">
        <f t="shared" si="7"/>
        <v>NLO18_60</v>
      </c>
      <c r="B513">
        <v>0.85</v>
      </c>
      <c r="C513">
        <v>1</v>
      </c>
      <c r="D513">
        <v>1</v>
      </c>
      <c r="E513">
        <v>60</v>
      </c>
      <c r="F513" t="s">
        <v>79</v>
      </c>
    </row>
    <row r="514" spans="1:6" x14ac:dyDescent="0.2">
      <c r="A514" t="str">
        <f t="shared" si="7"/>
        <v>NLO18_80</v>
      </c>
      <c r="B514">
        <v>0.7</v>
      </c>
      <c r="C514">
        <v>1</v>
      </c>
      <c r="D514">
        <v>1</v>
      </c>
      <c r="E514">
        <v>80</v>
      </c>
      <c r="F514" t="s">
        <v>79</v>
      </c>
    </row>
    <row r="515" spans="1:6" x14ac:dyDescent="0.2">
      <c r="A515" t="str">
        <f t="shared" si="7"/>
        <v>NLO18_100</v>
      </c>
      <c r="B515">
        <v>0.55000000000000004</v>
      </c>
      <c r="C515">
        <v>1</v>
      </c>
      <c r="D515">
        <v>1</v>
      </c>
      <c r="E515">
        <v>100</v>
      </c>
      <c r="F515" t="s">
        <v>79</v>
      </c>
    </row>
    <row r="516" spans="1:6" x14ac:dyDescent="0.2">
      <c r="A516" t="str">
        <f t="shared" si="7"/>
        <v/>
      </c>
    </row>
    <row r="517" spans="1:6" x14ac:dyDescent="0.2">
      <c r="A517" t="str">
        <f t="shared" si="7"/>
        <v>NPS18_0</v>
      </c>
      <c r="B517">
        <v>1.4</v>
      </c>
      <c r="C517">
        <v>1</v>
      </c>
      <c r="D517">
        <v>1</v>
      </c>
      <c r="E517">
        <v>0</v>
      </c>
      <c r="F517" t="s">
        <v>81</v>
      </c>
    </row>
    <row r="518" spans="1:6" x14ac:dyDescent="0.2">
      <c r="A518" t="str">
        <f t="shared" si="7"/>
        <v>NPS18_30</v>
      </c>
      <c r="B518">
        <v>1.1000000000000001</v>
      </c>
      <c r="C518">
        <v>1</v>
      </c>
      <c r="D518">
        <v>1</v>
      </c>
      <c r="E518">
        <v>30</v>
      </c>
      <c r="F518" t="s">
        <v>81</v>
      </c>
    </row>
    <row r="519" spans="1:6" x14ac:dyDescent="0.2">
      <c r="A519" t="str">
        <f t="shared" si="7"/>
        <v>NPS18_40</v>
      </c>
      <c r="B519">
        <v>1</v>
      </c>
      <c r="C519">
        <v>1</v>
      </c>
      <c r="D519">
        <v>1</v>
      </c>
      <c r="E519">
        <v>40</v>
      </c>
      <c r="F519" t="s">
        <v>81</v>
      </c>
    </row>
    <row r="520" spans="1:6" x14ac:dyDescent="0.2">
      <c r="A520" t="str">
        <f t="shared" si="7"/>
        <v>NPS18_60</v>
      </c>
      <c r="B520">
        <v>0.85</v>
      </c>
      <c r="C520">
        <v>1</v>
      </c>
      <c r="D520">
        <v>1</v>
      </c>
      <c r="E520">
        <v>60</v>
      </c>
      <c r="F520" t="s">
        <v>81</v>
      </c>
    </row>
    <row r="521" spans="1:6" x14ac:dyDescent="0.2">
      <c r="A521" t="str">
        <f t="shared" si="7"/>
        <v>NPS18_80</v>
      </c>
      <c r="B521">
        <v>0.7</v>
      </c>
      <c r="C521">
        <v>1</v>
      </c>
      <c r="D521">
        <v>1</v>
      </c>
      <c r="E521">
        <v>80</v>
      </c>
      <c r="F521" t="s">
        <v>81</v>
      </c>
    </row>
    <row r="522" spans="1:6" x14ac:dyDescent="0.2">
      <c r="A522" t="str">
        <f t="shared" si="7"/>
        <v>NPS18_100</v>
      </c>
      <c r="B522">
        <v>0.55000000000000004</v>
      </c>
      <c r="C522">
        <v>1</v>
      </c>
      <c r="D522">
        <v>1</v>
      </c>
      <c r="E522">
        <v>100</v>
      </c>
      <c r="F522" t="s">
        <v>81</v>
      </c>
    </row>
    <row r="523" spans="1:6" x14ac:dyDescent="0.2">
      <c r="A523" t="str">
        <f t="shared" si="7"/>
        <v/>
      </c>
    </row>
    <row r="524" spans="1:6" x14ac:dyDescent="0.2">
      <c r="A524" t="str">
        <f t="shared" si="7"/>
        <v>NSH17_5</v>
      </c>
      <c r="B524" s="122">
        <v>1.4</v>
      </c>
      <c r="C524">
        <v>1</v>
      </c>
      <c r="D524">
        <v>1</v>
      </c>
      <c r="E524">
        <v>5</v>
      </c>
      <c r="F524" t="s">
        <v>101</v>
      </c>
    </row>
    <row r="525" spans="1:6" x14ac:dyDescent="0.2">
      <c r="A525" t="str">
        <f t="shared" si="7"/>
        <v>NSH17_10</v>
      </c>
      <c r="B525">
        <v>1.3</v>
      </c>
      <c r="C525">
        <v>1</v>
      </c>
      <c r="D525">
        <v>1</v>
      </c>
      <c r="E525">
        <v>10</v>
      </c>
      <c r="F525" t="s">
        <v>101</v>
      </c>
    </row>
    <row r="526" spans="1:6" x14ac:dyDescent="0.2">
      <c r="A526" t="str">
        <f t="shared" si="7"/>
        <v>NSH17_15</v>
      </c>
      <c r="B526">
        <v>1.2</v>
      </c>
      <c r="C526">
        <v>1</v>
      </c>
      <c r="D526">
        <v>1</v>
      </c>
      <c r="E526">
        <v>15</v>
      </c>
      <c r="F526" t="s">
        <v>101</v>
      </c>
    </row>
    <row r="527" spans="1:6" x14ac:dyDescent="0.2">
      <c r="A527" t="str">
        <f t="shared" si="7"/>
        <v>NSH17_20</v>
      </c>
      <c r="B527">
        <v>1.1000000000000001</v>
      </c>
      <c r="C527">
        <v>1</v>
      </c>
      <c r="D527">
        <v>1</v>
      </c>
      <c r="E527">
        <v>20</v>
      </c>
      <c r="F527" t="s">
        <v>101</v>
      </c>
    </row>
    <row r="528" spans="1:6" x14ac:dyDescent="0.2">
      <c r="A528" t="str">
        <f t="shared" si="7"/>
        <v>NSH17_25</v>
      </c>
      <c r="B528">
        <v>1</v>
      </c>
      <c r="C528">
        <v>1</v>
      </c>
      <c r="D528">
        <v>1</v>
      </c>
      <c r="E528">
        <v>25</v>
      </c>
      <c r="F528" t="s">
        <v>101</v>
      </c>
    </row>
    <row r="529" spans="1:6" x14ac:dyDescent="0.2">
      <c r="A529" t="str">
        <f t="shared" si="7"/>
        <v>NSH17_30</v>
      </c>
      <c r="B529">
        <v>0.94</v>
      </c>
      <c r="C529">
        <v>1</v>
      </c>
      <c r="D529">
        <v>1</v>
      </c>
      <c r="E529">
        <v>30</v>
      </c>
      <c r="F529" t="s">
        <v>101</v>
      </c>
    </row>
    <row r="530" spans="1:6" x14ac:dyDescent="0.2">
      <c r="A530" t="str">
        <f t="shared" si="7"/>
        <v>NSH17_35</v>
      </c>
      <c r="B530">
        <v>0.88</v>
      </c>
      <c r="C530">
        <v>1</v>
      </c>
      <c r="D530">
        <v>1</v>
      </c>
      <c r="E530">
        <v>35</v>
      </c>
      <c r="F530" t="s">
        <v>101</v>
      </c>
    </row>
    <row r="531" spans="1:6" x14ac:dyDescent="0.2">
      <c r="A531" t="str">
        <f t="shared" si="7"/>
        <v>NSH17_40</v>
      </c>
      <c r="B531">
        <v>0.82</v>
      </c>
      <c r="C531">
        <v>1</v>
      </c>
      <c r="D531">
        <v>1</v>
      </c>
      <c r="E531">
        <v>40</v>
      </c>
      <c r="F531" t="s">
        <v>101</v>
      </c>
    </row>
    <row r="532" spans="1:6" x14ac:dyDescent="0.2">
      <c r="A532" t="str">
        <f t="shared" si="7"/>
        <v>NSH17_45</v>
      </c>
      <c r="B532">
        <v>0.76</v>
      </c>
      <c r="C532">
        <v>1</v>
      </c>
      <c r="D532">
        <v>1</v>
      </c>
      <c r="E532">
        <v>45</v>
      </c>
      <c r="F532" t="s">
        <v>101</v>
      </c>
    </row>
    <row r="533" spans="1:6" x14ac:dyDescent="0.2">
      <c r="A533" t="str">
        <f t="shared" ref="A533:A607" si="8">IF(F533="","",CONCATENATE(F533,"_",E533))</f>
        <v>NSH17_50</v>
      </c>
      <c r="B533">
        <v>0.7</v>
      </c>
      <c r="C533">
        <v>1</v>
      </c>
      <c r="D533">
        <v>1</v>
      </c>
      <c r="E533">
        <v>50</v>
      </c>
      <c r="F533" t="s">
        <v>101</v>
      </c>
    </row>
    <row r="534" spans="1:6" x14ac:dyDescent="0.2">
      <c r="A534" t="str">
        <f t="shared" si="8"/>
        <v>NSH17_55</v>
      </c>
      <c r="B534">
        <v>0.67</v>
      </c>
      <c r="C534">
        <v>1</v>
      </c>
      <c r="D534">
        <v>1</v>
      </c>
      <c r="E534">
        <v>55</v>
      </c>
      <c r="F534" t="s">
        <v>101</v>
      </c>
    </row>
    <row r="535" spans="1:6" x14ac:dyDescent="0.2">
      <c r="A535" t="str">
        <f t="shared" si="8"/>
        <v>NSH17_60</v>
      </c>
      <c r="B535">
        <v>0.64</v>
      </c>
      <c r="C535">
        <v>1</v>
      </c>
      <c r="D535">
        <v>1</v>
      </c>
      <c r="E535">
        <v>60</v>
      </c>
      <c r="F535" t="s">
        <v>101</v>
      </c>
    </row>
    <row r="536" spans="1:6" x14ac:dyDescent="0.2">
      <c r="A536" t="str">
        <f t="shared" si="8"/>
        <v>NSH17_65</v>
      </c>
      <c r="B536">
        <v>0.61</v>
      </c>
      <c r="C536">
        <v>1</v>
      </c>
      <c r="D536">
        <v>1</v>
      </c>
      <c r="E536">
        <v>65</v>
      </c>
      <c r="F536" t="s">
        <v>101</v>
      </c>
    </row>
    <row r="537" spans="1:6" x14ac:dyDescent="0.2">
      <c r="A537" t="str">
        <f t="shared" si="8"/>
        <v>NSH17_70</v>
      </c>
      <c r="B537">
        <v>0.57999999999999996</v>
      </c>
      <c r="C537">
        <v>1</v>
      </c>
      <c r="D537">
        <v>1</v>
      </c>
      <c r="E537">
        <v>70</v>
      </c>
      <c r="F537" t="s">
        <v>101</v>
      </c>
    </row>
    <row r="538" spans="1:6" x14ac:dyDescent="0.2">
      <c r="A538" t="str">
        <f t="shared" si="8"/>
        <v>NSH17_75</v>
      </c>
      <c r="B538">
        <v>0.55000000000000004</v>
      </c>
      <c r="C538">
        <v>1</v>
      </c>
      <c r="D538">
        <v>1</v>
      </c>
      <c r="E538">
        <v>75</v>
      </c>
      <c r="F538" t="s">
        <v>101</v>
      </c>
    </row>
    <row r="539" spans="1:6" x14ac:dyDescent="0.2">
      <c r="A539" t="str">
        <f t="shared" si="8"/>
        <v>NSH17_80</v>
      </c>
      <c r="B539">
        <v>0.52</v>
      </c>
      <c r="C539">
        <v>1</v>
      </c>
      <c r="D539">
        <v>1</v>
      </c>
      <c r="E539">
        <v>80</v>
      </c>
      <c r="F539" t="s">
        <v>101</v>
      </c>
    </row>
    <row r="540" spans="1:6" x14ac:dyDescent="0.2">
      <c r="A540" t="str">
        <f t="shared" si="8"/>
        <v>NSH17_85</v>
      </c>
      <c r="B540">
        <v>0.49</v>
      </c>
      <c r="C540">
        <v>1</v>
      </c>
      <c r="D540">
        <v>1</v>
      </c>
      <c r="E540">
        <v>85</v>
      </c>
      <c r="F540" t="s">
        <v>101</v>
      </c>
    </row>
    <row r="541" spans="1:6" x14ac:dyDescent="0.2">
      <c r="A541" t="str">
        <f t="shared" si="8"/>
        <v>NSH17_90</v>
      </c>
      <c r="B541">
        <v>0.46</v>
      </c>
      <c r="C541">
        <v>1</v>
      </c>
      <c r="D541">
        <v>1</v>
      </c>
      <c r="E541">
        <v>90</v>
      </c>
      <c r="F541" t="s">
        <v>101</v>
      </c>
    </row>
    <row r="542" spans="1:6" x14ac:dyDescent="0.2">
      <c r="A542" t="str">
        <f t="shared" si="8"/>
        <v>NSH17_95</v>
      </c>
      <c r="B542">
        <v>0.43</v>
      </c>
      <c r="C542">
        <v>1</v>
      </c>
      <c r="D542">
        <v>1</v>
      </c>
      <c r="E542">
        <v>95</v>
      </c>
      <c r="F542" t="s">
        <v>101</v>
      </c>
    </row>
    <row r="543" spans="1:6" x14ac:dyDescent="0.2">
      <c r="A543" t="str">
        <f t="shared" si="8"/>
        <v>NSH17_100</v>
      </c>
      <c r="B543">
        <v>0.4</v>
      </c>
      <c r="C543">
        <v>1</v>
      </c>
      <c r="D543">
        <v>1</v>
      </c>
      <c r="E543">
        <v>100</v>
      </c>
      <c r="F543" t="s">
        <v>101</v>
      </c>
    </row>
    <row r="544" spans="1:6" x14ac:dyDescent="0.2">
      <c r="A544" t="str">
        <f t="shared" si="8"/>
        <v>NSH17_110</v>
      </c>
      <c r="B544">
        <v>0.4</v>
      </c>
      <c r="C544">
        <v>1</v>
      </c>
      <c r="D544">
        <v>0.75</v>
      </c>
      <c r="E544">
        <v>110</v>
      </c>
      <c r="F544" t="s">
        <v>101</v>
      </c>
    </row>
    <row r="545" spans="1:6" x14ac:dyDescent="0.2">
      <c r="A545" t="str">
        <f t="shared" si="8"/>
        <v>NSH17_120</v>
      </c>
      <c r="B545">
        <v>0.4</v>
      </c>
      <c r="C545">
        <v>1</v>
      </c>
      <c r="D545">
        <v>0.5</v>
      </c>
      <c r="E545">
        <v>120</v>
      </c>
      <c r="F545" t="s">
        <v>101</v>
      </c>
    </row>
    <row r="546" spans="1:6" x14ac:dyDescent="0.2">
      <c r="A546" t="str">
        <f t="shared" si="8"/>
        <v/>
      </c>
    </row>
    <row r="547" spans="1:6" x14ac:dyDescent="0.2">
      <c r="A547" t="str">
        <f t="shared" si="8"/>
        <v>NPH18_0</v>
      </c>
      <c r="B547">
        <v>1.4</v>
      </c>
      <c r="C547">
        <v>1</v>
      </c>
      <c r="D547">
        <v>1</v>
      </c>
      <c r="E547">
        <v>0</v>
      </c>
      <c r="F547" s="49" t="s">
        <v>171</v>
      </c>
    </row>
    <row r="548" spans="1:6" x14ac:dyDescent="0.2">
      <c r="A548" t="str">
        <f t="shared" si="8"/>
        <v>NPH18_20</v>
      </c>
      <c r="B548">
        <v>1</v>
      </c>
      <c r="C548">
        <v>1</v>
      </c>
      <c r="D548">
        <v>1</v>
      </c>
      <c r="E548">
        <v>20</v>
      </c>
      <c r="F548" s="49" t="s">
        <v>171</v>
      </c>
    </row>
    <row r="549" spans="1:6" x14ac:dyDescent="0.2">
      <c r="A549" t="str">
        <f t="shared" si="8"/>
        <v>NPH18_40</v>
      </c>
      <c r="B549">
        <v>0.7</v>
      </c>
      <c r="C549">
        <v>1</v>
      </c>
      <c r="D549">
        <v>1</v>
      </c>
      <c r="E549">
        <v>40</v>
      </c>
      <c r="F549" s="49" t="s">
        <v>171</v>
      </c>
    </row>
    <row r="550" spans="1:6" x14ac:dyDescent="0.2">
      <c r="A550" t="str">
        <f t="shared" si="8"/>
        <v>NPH18_50</v>
      </c>
      <c r="B550">
        <v>0.55000000000000004</v>
      </c>
      <c r="C550">
        <v>1</v>
      </c>
      <c r="D550">
        <v>1</v>
      </c>
      <c r="E550">
        <v>50</v>
      </c>
      <c r="F550" s="49" t="s">
        <v>171</v>
      </c>
    </row>
    <row r="551" spans="1:6" x14ac:dyDescent="0.2">
      <c r="A551" t="str">
        <f t="shared" si="8"/>
        <v/>
      </c>
    </row>
    <row r="552" spans="1:6" x14ac:dyDescent="0.2">
      <c r="A552" t="str">
        <f t="shared" ref="A552:A560" si="9">IF(F552="","",CONCATENATE(F552,"_",E552))</f>
        <v>NVS18_Typ1_0</v>
      </c>
      <c r="B552">
        <v>1.4</v>
      </c>
      <c r="C552">
        <v>1</v>
      </c>
      <c r="D552">
        <v>1</v>
      </c>
      <c r="E552" s="49">
        <v>0</v>
      </c>
      <c r="F552" s="49" t="s">
        <v>204</v>
      </c>
    </row>
    <row r="553" spans="1:6" x14ac:dyDescent="0.2">
      <c r="A553" t="str">
        <f t="shared" si="9"/>
        <v>NVS18_Typ1_30</v>
      </c>
      <c r="B553">
        <v>1</v>
      </c>
      <c r="C553">
        <v>1</v>
      </c>
      <c r="D553">
        <v>1</v>
      </c>
      <c r="E553" s="49">
        <v>30</v>
      </c>
      <c r="F553" s="49" t="s">
        <v>204</v>
      </c>
    </row>
    <row r="554" spans="1:6" x14ac:dyDescent="0.2">
      <c r="A554" t="str">
        <f t="shared" si="9"/>
        <v>NVS18_Typ1_60</v>
      </c>
      <c r="B554">
        <v>0.7</v>
      </c>
      <c r="C554">
        <v>1</v>
      </c>
      <c r="D554">
        <v>1</v>
      </c>
      <c r="E554" s="49">
        <v>60</v>
      </c>
      <c r="F554" s="49" t="s">
        <v>204</v>
      </c>
    </row>
    <row r="555" spans="1:6" x14ac:dyDescent="0.2">
      <c r="A555" t="str">
        <f t="shared" si="9"/>
        <v>NVS18_Typ1_80</v>
      </c>
      <c r="B555">
        <v>0.55000000000000004</v>
      </c>
      <c r="C555">
        <v>1</v>
      </c>
      <c r="D555">
        <v>1</v>
      </c>
      <c r="E555" s="49">
        <v>80</v>
      </c>
      <c r="F555" s="49" t="s">
        <v>204</v>
      </c>
    </row>
    <row r="556" spans="1:6" x14ac:dyDescent="0.2">
      <c r="A556" t="str">
        <f t="shared" si="9"/>
        <v/>
      </c>
    </row>
    <row r="557" spans="1:6" x14ac:dyDescent="0.2">
      <c r="A557" t="str">
        <f t="shared" si="9"/>
        <v>NVS18_Typ2_0</v>
      </c>
      <c r="B557">
        <v>1.4</v>
      </c>
      <c r="C557">
        <v>1</v>
      </c>
      <c r="D557">
        <v>1</v>
      </c>
      <c r="E557" s="49">
        <v>0</v>
      </c>
      <c r="F557" s="49" t="s">
        <v>205</v>
      </c>
    </row>
    <row r="558" spans="1:6" x14ac:dyDescent="0.2">
      <c r="A558" t="str">
        <f t="shared" si="9"/>
        <v>NVS18_Typ2_30</v>
      </c>
      <c r="B558">
        <v>1</v>
      </c>
      <c r="C558">
        <v>1</v>
      </c>
      <c r="D558">
        <v>1</v>
      </c>
      <c r="E558" s="49">
        <v>30</v>
      </c>
      <c r="F558" s="49" t="s">
        <v>205</v>
      </c>
    </row>
    <row r="559" spans="1:6" x14ac:dyDescent="0.2">
      <c r="A559" t="str">
        <f t="shared" si="9"/>
        <v>NVS18_Typ2_60</v>
      </c>
      <c r="B559">
        <v>0.7</v>
      </c>
      <c r="C559">
        <v>1</v>
      </c>
      <c r="D559">
        <v>1</v>
      </c>
      <c r="E559" s="49">
        <v>60</v>
      </c>
      <c r="F559" s="49" t="s">
        <v>205</v>
      </c>
    </row>
    <row r="560" spans="1:6" x14ac:dyDescent="0.2">
      <c r="A560" t="str">
        <f t="shared" si="9"/>
        <v>NVS18_Typ2_80</v>
      </c>
      <c r="B560">
        <v>0.55000000000000004</v>
      </c>
      <c r="C560">
        <v>1</v>
      </c>
      <c r="D560">
        <v>1</v>
      </c>
      <c r="E560" s="49">
        <v>80</v>
      </c>
      <c r="F560" s="49" t="s">
        <v>205</v>
      </c>
    </row>
    <row r="561" spans="1:6" x14ac:dyDescent="0.2">
      <c r="E561" s="49"/>
      <c r="F561" s="49"/>
    </row>
    <row r="562" spans="1:6" x14ac:dyDescent="0.2">
      <c r="A562" t="str">
        <f t="shared" si="8"/>
        <v>MIX12_5</v>
      </c>
      <c r="B562">
        <f>IF('DGNB LCA Results'!$P$4=4,VLOOKUP(CONCATENATE('DGNB LCA Results'!$M$3,"_",E562), $A$2:$F$550,2,FALSE)*'DGNB LCA Results'!$N$3+
                                                                  VLOOKUP(CONCATENATE('DGNB LCA Results'!$K$3,"_",E562), $A$2:$F$550,2,FALSE)*'DGNB LCA Results'!$L$3+
                                                                  VLOOKUP(CONCATENATE('DGNB LCA Results'!$I$3,"_",E562),$A$2:$F$550,2,FALSE)*'DGNB LCA Results'!$J$3+
                                                                  VLOOKUP(CONCATENATE('DGNB LCA Results'!$G$3,"_",E562), $A$2:$F$550,2,FALSE)*'DGNB LCA Results'!$H$3,
IF('DGNB LCA Results'!$P$4=3,VLOOKUP(CONCATENATE('DGNB LCA Results'!$M$3,"_",E562), $A$2:$F$550,2,FALSE)*'DGNB LCA Results'!$N$3+
                                                                VLOOKUP(CONCATENATE('DGNB LCA Results'!$K$3,"_",E562), $A$2:$F$550,2,FALSE)*'DGNB LCA Results'!$L$3+
                                                                VLOOKUP(CONCATENATE('DGNB LCA Results'!$I$3,"_",E562),$A$2:$F$550,2,FALSE)*'DGNB LCA Results'!$J$3,
IF('DGNB LCA Results'!$P$4=2,VLOOKUP(CONCATENATE('DGNB LCA Results'!$M$3,"_",E562), $A$2:$F$550,2,FALSE)*'DGNB LCA Results'!$N$3+
                                                                 VLOOKUP(CONCATENATE('DGNB LCA Results'!$K$3,"_",E562),$A$2:$F$550,2,FALSE)*'DGNB LCA Results'!$L$3,
IF('DGNB LCA Results'!$P$4=1,VLOOKUP(CONCATENATE('DGNB LCA Results'!$M$3,"_",E562), $A$2:$F$550,2,FALSE)*'DGNB LCA Results'!$N$3,0))))</f>
        <v>0</v>
      </c>
      <c r="C562">
        <f>IF('DGNB LCA Results'!$P$4=4,VLOOKUP(CONCATENATE('DGNB LCA Results'!$M$3,"_",E562), $A$2:$F$550,3,FALSE)*'DGNB LCA Results'!$N$3+
                                                                  VLOOKUP(CONCATENATE('DGNB LCA Results'!$K$3,"_",E562), $A$2:$F$550,3,FALSE)*'DGNB LCA Results'!$L$3+
                                                                  VLOOKUP(CONCATENATE('DGNB LCA Results'!$I$3,"_",E562),$A$2:$F$550,3,FALSE)*'DGNB LCA Results'!$J$3+
                                                                  VLOOKUP(CONCATENATE('DGNB LCA Results'!$G$3,"_",E562), $A$2:$F$550,3,FALSE)*'DGNB LCA Results'!$H$3,
IF('DGNB LCA Results'!$P$4=3,VLOOKUP(CONCATENATE('DGNB LCA Results'!$M$3,"_",E562), $A$2:$F$550,3,FALSE)*'DGNB LCA Results'!$N$3+
                                                                VLOOKUP(CONCATENATE('DGNB LCA Results'!$K$3,"_",E562), $A$2:$F$550,3,FALSE)*'DGNB LCA Results'!$L$3+
                                                                VLOOKUP(CONCATENATE('DGNB LCA Results'!$I$3,"_",E562),$A$2:$F$550,3,FALSE)*'DGNB LCA Results'!$J$3,
IF('DGNB LCA Results'!$P$4=2,VLOOKUP(CONCATENATE('DGNB LCA Results'!$M$3,"_",E562), $A$2:$F$550,3,FALSE)*'DGNB LCA Results'!$N$3+
                                                                 VLOOKUP(CONCATENATE('DGNB LCA Results'!$K$3,"_",E562),$A$2:$F$550,3,FALSE)*'DGNB LCA Results'!$L$3,
IF('DGNB LCA Results'!$P$4=1,VLOOKUP(CONCATENATE('DGNB LCA Results'!$M$3,"_",E562), $A$2:$F$550,3,FALSE)*'DGNB LCA Results'!$N$3,0))))</f>
        <v>0</v>
      </c>
      <c r="D562">
        <f>IF('DGNB LCA Results'!$P$4=4,VLOOKUP(CONCATENATE('DGNB LCA Results'!$M$3,"_",E562), $A$2:$F$550,4,FALSE)*'DGNB LCA Results'!$N$3+
                                                                  VLOOKUP(CONCATENATE('DGNB LCA Results'!$K$3,"_",E562), $A$2:$F$550,4,FALSE)*'DGNB LCA Results'!$L$3+
                                                                  VLOOKUP(CONCATENATE('DGNB LCA Results'!$I$3,"_",E562),$A$2:$F$550,4,FALSE)*'DGNB LCA Results'!$J$3+
                                                                  VLOOKUP(CONCATENATE('DGNB LCA Results'!$G$3,"_",E562), $A$2:$F$550,4,FALSE)*'DGNB LCA Results'!$H$3,
IF('DGNB LCA Results'!$P$4=3,VLOOKUP(CONCATENATE('DGNB LCA Results'!$M$3,"_",E562), $A$2:$F$550,4,FALSE)*'DGNB LCA Results'!$N$3+
                                                                VLOOKUP(CONCATENATE('DGNB LCA Results'!$K$3,"_",E562), $A$2:$F$550,4,FALSE)*'DGNB LCA Results'!$L$3+
                                                                VLOOKUP(CONCATENATE('DGNB LCA Results'!$I$3,"_",E562),$A$2:$F$550,4,FALSE)*'DGNB LCA Results'!$J$3,
IF('DGNB LCA Results'!$P$4=2,VLOOKUP(CONCATENATE('DGNB LCA Results'!$M$3,"_",E562), $A$2:$F$550,4,FALSE)*'DGNB LCA Results'!$N$3+
                                                                 VLOOKUP(CONCATENATE('DGNB LCA Results'!$K$3,"_",E562),$A$2:$F$550,4,FALSE)*'DGNB LCA Results'!$L$3,
IF('DGNB LCA Results'!$P$4=1,VLOOKUP(CONCATENATE('DGNB LCA Results'!$M$3,"_",E562), $A$2:$F$550,4,FALSE)*'DGNB LCA Results'!$N$3,0))))</f>
        <v>0</v>
      </c>
      <c r="E562">
        <v>5</v>
      </c>
      <c r="F562" t="s">
        <v>193</v>
      </c>
    </row>
    <row r="563" spans="1:6" x14ac:dyDescent="0.2">
      <c r="A563" t="str">
        <f t="shared" si="8"/>
        <v>MIX12_10</v>
      </c>
      <c r="B563">
        <f>IF('DGNB LCA Results'!$P$4=4,VLOOKUP(CONCATENATE('DGNB LCA Results'!$M$3,"_",E563), $A$2:$F$550,2,FALSE)*'DGNB LCA Results'!$N$3+
                                                                  VLOOKUP(CONCATENATE('DGNB LCA Results'!$K$3,"_",E563), $A$2:$F$550,2,FALSE)*'DGNB LCA Results'!$L$3+
                                                                  VLOOKUP(CONCATENATE('DGNB LCA Results'!$I$3,"_",E563),$A$2:$F$550,2,FALSE)*'DGNB LCA Results'!$J$3+
                                                                  VLOOKUP(CONCATENATE('DGNB LCA Results'!$G$3,"_",E563), $A$2:$F$550,2,FALSE)*'DGNB LCA Results'!$H$3,
IF('DGNB LCA Results'!$P$4=3,VLOOKUP(CONCATENATE('DGNB LCA Results'!$M$3,"_",E563), $A$2:$F$550,2,FALSE)*'DGNB LCA Results'!$N$3+
                                                                VLOOKUP(CONCATENATE('DGNB LCA Results'!$K$3,"_",E563), $A$2:$F$550,2,FALSE)*'DGNB LCA Results'!$L$3+
                                                                VLOOKUP(CONCATENATE('DGNB LCA Results'!$I$3,"_",E563),$A$2:$F$550,2,FALSE)*'DGNB LCA Results'!$J$3,
IF('DGNB LCA Results'!$P$4=2,VLOOKUP(CONCATENATE('DGNB LCA Results'!$M$3,"_",E563), $A$2:$F$550,2,FALSE)*'DGNB LCA Results'!$N$3+
                                                                 VLOOKUP(CONCATENATE('DGNB LCA Results'!$K$3,"_",E563),$A$2:$F$550,2,FALSE)*'DGNB LCA Results'!$L$3,
IF('DGNB LCA Results'!$P$4=1,VLOOKUP(CONCATENATE('DGNB LCA Results'!$M$3,"_",E563), $A$2:$F$550,2,FALSE)*'DGNB LCA Results'!$N$3,0))))</f>
        <v>0</v>
      </c>
      <c r="C563">
        <f>IF('DGNB LCA Results'!$P$4=4,VLOOKUP(CONCATENATE('DGNB LCA Results'!$M$3,"_",E563), $A$2:$F$550,3,FALSE)*'DGNB LCA Results'!$N$3+
                                                                  VLOOKUP(CONCATENATE('DGNB LCA Results'!$K$3,"_",E563), $A$2:$F$550,3,FALSE)*'DGNB LCA Results'!$L$3+
                                                                  VLOOKUP(CONCATENATE('DGNB LCA Results'!$I$3,"_",E563),$A$2:$F$550,3,FALSE)*'DGNB LCA Results'!$J$3+
                                                                  VLOOKUP(CONCATENATE('DGNB LCA Results'!$G$3,"_",E563), $A$2:$F$550,3,FALSE)*'DGNB LCA Results'!$H$3,
IF('DGNB LCA Results'!$P$4=3,VLOOKUP(CONCATENATE('DGNB LCA Results'!$M$3,"_",E563), $A$2:$F$550,3,FALSE)*'DGNB LCA Results'!$N$3+
                                                                VLOOKUP(CONCATENATE('DGNB LCA Results'!$K$3,"_",E563), $A$2:$F$550,3,FALSE)*'DGNB LCA Results'!$L$3+
                                                                VLOOKUP(CONCATENATE('DGNB LCA Results'!$I$3,"_",E563),$A$2:$F$550,3,FALSE)*'DGNB LCA Results'!$J$3,
IF('DGNB LCA Results'!$P$4=2,VLOOKUP(CONCATENATE('DGNB LCA Results'!$M$3,"_",E563), $A$2:$F$550,3,FALSE)*'DGNB LCA Results'!$N$3+
                                                                 VLOOKUP(CONCATENATE('DGNB LCA Results'!$K$3,"_",E563),$A$2:$F$550,3,FALSE)*'DGNB LCA Results'!$L$3,
IF('DGNB LCA Results'!$P$4=1,VLOOKUP(CONCATENATE('DGNB LCA Results'!$M$3,"_",E563), $A$2:$F$550,3,FALSE)*'DGNB LCA Results'!$N$3,0))))</f>
        <v>0</v>
      </c>
      <c r="D563">
        <f>IF('DGNB LCA Results'!$P$4=4,VLOOKUP(CONCATENATE('DGNB LCA Results'!$M$3,"_",E563), $A$2:$F$550,4,FALSE)*'DGNB LCA Results'!$N$3+
                                                                  VLOOKUP(CONCATENATE('DGNB LCA Results'!$K$3,"_",E563), $A$2:$F$550,4,FALSE)*'DGNB LCA Results'!$L$3+
                                                                  VLOOKUP(CONCATENATE('DGNB LCA Results'!$I$3,"_",E563),$A$2:$F$550,4,FALSE)*'DGNB LCA Results'!$J$3+
                                                                  VLOOKUP(CONCATENATE('DGNB LCA Results'!$G$3,"_",E563), $A$2:$F$550,4,FALSE)*'DGNB LCA Results'!$H$3,
IF('DGNB LCA Results'!$P$4=3,VLOOKUP(CONCATENATE('DGNB LCA Results'!$M$3,"_",E563), $A$2:$F$550,4,FALSE)*'DGNB LCA Results'!$N$3+
                                                                VLOOKUP(CONCATENATE('DGNB LCA Results'!$K$3,"_",E563), $A$2:$F$550,4,FALSE)*'DGNB LCA Results'!$L$3+
                                                                VLOOKUP(CONCATENATE('DGNB LCA Results'!$I$3,"_",E563),$A$2:$F$550,4,FALSE)*'DGNB LCA Results'!$J$3,
IF('DGNB LCA Results'!$P$4=2,VLOOKUP(CONCATENATE('DGNB LCA Results'!$M$3,"_",E563), $A$2:$F$550,4,FALSE)*'DGNB LCA Results'!$N$3+
                                                                 VLOOKUP(CONCATENATE('DGNB LCA Results'!$K$3,"_",E563),$A$2:$F$550,4,FALSE)*'DGNB LCA Results'!$L$3,
IF('DGNB LCA Results'!$P$4=1,VLOOKUP(CONCATENATE('DGNB LCA Results'!$M$3,"_",E563), $A$2:$F$550,4,FALSE)*'DGNB LCA Results'!$N$3,0))))</f>
        <v>0</v>
      </c>
      <c r="E563">
        <v>10</v>
      </c>
      <c r="F563" t="s">
        <v>193</v>
      </c>
    </row>
    <row r="564" spans="1:6" x14ac:dyDescent="0.2">
      <c r="A564" t="str">
        <f t="shared" si="8"/>
        <v>MIX12_15</v>
      </c>
      <c r="B564">
        <f>IF('DGNB LCA Results'!$P$4=4,VLOOKUP(CONCATENATE('DGNB LCA Results'!$M$3,"_",E564), $A$2:$F$550,2,FALSE)*'DGNB LCA Results'!$N$3+
                                                                  VLOOKUP(CONCATENATE('DGNB LCA Results'!$K$3,"_",E564), $A$2:$F$550,2,FALSE)*'DGNB LCA Results'!$L$3+
                                                                  VLOOKUP(CONCATENATE('DGNB LCA Results'!$I$3,"_",E564),$A$2:$F$550,2,FALSE)*'DGNB LCA Results'!$J$3+
                                                                  VLOOKUP(CONCATENATE('DGNB LCA Results'!$G$3,"_",E564), $A$2:$F$550,2,FALSE)*'DGNB LCA Results'!$H$3,
IF('DGNB LCA Results'!$P$4=3,VLOOKUP(CONCATENATE('DGNB LCA Results'!$M$3,"_",E564), $A$2:$F$550,2,FALSE)*'DGNB LCA Results'!$N$3+
                                                                VLOOKUP(CONCATENATE('DGNB LCA Results'!$K$3,"_",E564), $A$2:$F$550,2,FALSE)*'DGNB LCA Results'!$L$3+
                                                                VLOOKUP(CONCATENATE('DGNB LCA Results'!$I$3,"_",E564),$A$2:$F$550,2,FALSE)*'DGNB LCA Results'!$J$3,
IF('DGNB LCA Results'!$P$4=2,VLOOKUP(CONCATENATE('DGNB LCA Results'!$M$3,"_",E564), $A$2:$F$550,2,FALSE)*'DGNB LCA Results'!$N$3+
                                                                 VLOOKUP(CONCATENATE('DGNB LCA Results'!$K$3,"_",E564),$A$2:$F$550,2,FALSE)*'DGNB LCA Results'!$L$3,
IF('DGNB LCA Results'!$P$4=1,VLOOKUP(CONCATENATE('DGNB LCA Results'!$M$3,"_",E564), $A$2:$F$550,2,FALSE)*'DGNB LCA Results'!$N$3,0))))</f>
        <v>0</v>
      </c>
      <c r="C564">
        <f>IF('DGNB LCA Results'!$P$4=4,VLOOKUP(CONCATENATE('DGNB LCA Results'!$M$3,"_",E564), $A$2:$F$550,3,FALSE)*'DGNB LCA Results'!$N$3+
                                                                  VLOOKUP(CONCATENATE('DGNB LCA Results'!$K$3,"_",E564), $A$2:$F$550,3,FALSE)*'DGNB LCA Results'!$L$3+
                                                                  VLOOKUP(CONCATENATE('DGNB LCA Results'!$I$3,"_",E564),$A$2:$F$550,3,FALSE)*'DGNB LCA Results'!$J$3+
                                                                  VLOOKUP(CONCATENATE('DGNB LCA Results'!$G$3,"_",E564), $A$2:$F$550,3,FALSE)*'DGNB LCA Results'!$H$3,
IF('DGNB LCA Results'!$P$4=3,VLOOKUP(CONCATENATE('DGNB LCA Results'!$M$3,"_",E564), $A$2:$F$550,3,FALSE)*'DGNB LCA Results'!$N$3+
                                                                VLOOKUP(CONCATENATE('DGNB LCA Results'!$K$3,"_",E564), $A$2:$F$550,3,FALSE)*'DGNB LCA Results'!$L$3+
                                                                VLOOKUP(CONCATENATE('DGNB LCA Results'!$I$3,"_",E564),$A$2:$F$550,3,FALSE)*'DGNB LCA Results'!$J$3,
IF('DGNB LCA Results'!$P$4=2,VLOOKUP(CONCATENATE('DGNB LCA Results'!$M$3,"_",E564), $A$2:$F$550,3,FALSE)*'DGNB LCA Results'!$N$3+
                                                                 VLOOKUP(CONCATENATE('DGNB LCA Results'!$K$3,"_",E564),$A$2:$F$550,3,FALSE)*'DGNB LCA Results'!$L$3,
IF('DGNB LCA Results'!$P$4=1,VLOOKUP(CONCATENATE('DGNB LCA Results'!$M$3,"_",E564), $A$2:$F$550,3,FALSE)*'DGNB LCA Results'!$N$3,0))))</f>
        <v>0</v>
      </c>
      <c r="D564">
        <f>IF('DGNB LCA Results'!$P$4=4,VLOOKUP(CONCATENATE('DGNB LCA Results'!$M$3,"_",E564), $A$2:$F$550,4,FALSE)*'DGNB LCA Results'!$N$3+
                                                                  VLOOKUP(CONCATENATE('DGNB LCA Results'!$K$3,"_",E564), $A$2:$F$550,4,FALSE)*'DGNB LCA Results'!$L$3+
                                                                  VLOOKUP(CONCATENATE('DGNB LCA Results'!$I$3,"_",E564),$A$2:$F$550,4,FALSE)*'DGNB LCA Results'!$J$3+
                                                                  VLOOKUP(CONCATENATE('DGNB LCA Results'!$G$3,"_",E564), $A$2:$F$550,4,FALSE)*'DGNB LCA Results'!$H$3,
IF('DGNB LCA Results'!$P$4=3,VLOOKUP(CONCATENATE('DGNB LCA Results'!$M$3,"_",E564), $A$2:$F$550,4,FALSE)*'DGNB LCA Results'!$N$3+
                                                                VLOOKUP(CONCATENATE('DGNB LCA Results'!$K$3,"_",E564), $A$2:$F$550,4,FALSE)*'DGNB LCA Results'!$L$3+
                                                                VLOOKUP(CONCATENATE('DGNB LCA Results'!$I$3,"_",E564),$A$2:$F$550,4,FALSE)*'DGNB LCA Results'!$J$3,
IF('DGNB LCA Results'!$P$4=2,VLOOKUP(CONCATENATE('DGNB LCA Results'!$M$3,"_",E564), $A$2:$F$550,4,FALSE)*'DGNB LCA Results'!$N$3+
                                                                 VLOOKUP(CONCATENATE('DGNB LCA Results'!$K$3,"_",E564),$A$2:$F$550,4,FALSE)*'DGNB LCA Results'!$L$3,
IF('DGNB LCA Results'!$P$4=1,VLOOKUP(CONCATENATE('DGNB LCA Results'!$M$3,"_",E564), $A$2:$F$550,4,FALSE)*'DGNB LCA Results'!$N$3,0))))</f>
        <v>0</v>
      </c>
      <c r="E564">
        <v>15</v>
      </c>
      <c r="F564" t="s">
        <v>193</v>
      </c>
    </row>
    <row r="565" spans="1:6" x14ac:dyDescent="0.2">
      <c r="A565" t="str">
        <f t="shared" si="8"/>
        <v>MIX12_20</v>
      </c>
      <c r="B565">
        <f>IF('DGNB LCA Results'!$P$4=4,VLOOKUP(CONCATENATE('DGNB LCA Results'!$M$3,"_",E565), $A$2:$F$550,2,FALSE)*'DGNB LCA Results'!$N$3+
                                                                  VLOOKUP(CONCATENATE('DGNB LCA Results'!$K$3,"_",E565), $A$2:$F$550,2,FALSE)*'DGNB LCA Results'!$L$3+
                                                                  VLOOKUP(CONCATENATE('DGNB LCA Results'!$I$3,"_",E565),$A$2:$F$550,2,FALSE)*'DGNB LCA Results'!$J$3+
                                                                  VLOOKUP(CONCATENATE('DGNB LCA Results'!$G$3,"_",E565), $A$2:$F$550,2,FALSE)*'DGNB LCA Results'!$H$3,
IF('DGNB LCA Results'!$P$4=3,VLOOKUP(CONCATENATE('DGNB LCA Results'!$M$3,"_",E565), $A$2:$F$550,2,FALSE)*'DGNB LCA Results'!$N$3+
                                                                VLOOKUP(CONCATENATE('DGNB LCA Results'!$K$3,"_",E565), $A$2:$F$550,2,FALSE)*'DGNB LCA Results'!$L$3+
                                                                VLOOKUP(CONCATENATE('DGNB LCA Results'!$I$3,"_",E565),$A$2:$F$550,2,FALSE)*'DGNB LCA Results'!$J$3,
IF('DGNB LCA Results'!$P$4=2,VLOOKUP(CONCATENATE('DGNB LCA Results'!$M$3,"_",E565), $A$2:$F$550,2,FALSE)*'DGNB LCA Results'!$N$3+
                                                                 VLOOKUP(CONCATENATE('DGNB LCA Results'!$K$3,"_",E565),$A$2:$F$550,2,FALSE)*'DGNB LCA Results'!$L$3,
IF('DGNB LCA Results'!$P$4=1,VLOOKUP(CONCATENATE('DGNB LCA Results'!$M$3,"_",E565), $A$2:$F$550,2,FALSE)*'DGNB LCA Results'!$N$3,0))))</f>
        <v>0</v>
      </c>
      <c r="C565">
        <f>IF('DGNB LCA Results'!$P$4=4,VLOOKUP(CONCATENATE('DGNB LCA Results'!$M$3,"_",E565), $A$2:$F$550,3,FALSE)*'DGNB LCA Results'!$N$3+
                                                                  VLOOKUP(CONCATENATE('DGNB LCA Results'!$K$3,"_",E565), $A$2:$F$550,3,FALSE)*'DGNB LCA Results'!$L$3+
                                                                  VLOOKUP(CONCATENATE('DGNB LCA Results'!$I$3,"_",E565),$A$2:$F$550,3,FALSE)*'DGNB LCA Results'!$J$3+
                                                                  VLOOKUP(CONCATENATE('DGNB LCA Results'!$G$3,"_",E565), $A$2:$F$550,3,FALSE)*'DGNB LCA Results'!$H$3,
IF('DGNB LCA Results'!$P$4=3,VLOOKUP(CONCATENATE('DGNB LCA Results'!$M$3,"_",E565), $A$2:$F$550,3,FALSE)*'DGNB LCA Results'!$N$3+
                                                                VLOOKUP(CONCATENATE('DGNB LCA Results'!$K$3,"_",E565), $A$2:$F$550,3,FALSE)*'DGNB LCA Results'!$L$3+
                                                                VLOOKUP(CONCATENATE('DGNB LCA Results'!$I$3,"_",E565),$A$2:$F$550,3,FALSE)*'DGNB LCA Results'!$J$3,
IF('DGNB LCA Results'!$P$4=2,VLOOKUP(CONCATENATE('DGNB LCA Results'!$M$3,"_",E565), $A$2:$F$550,3,FALSE)*'DGNB LCA Results'!$N$3+
                                                                 VLOOKUP(CONCATENATE('DGNB LCA Results'!$K$3,"_",E565),$A$2:$F$550,3,FALSE)*'DGNB LCA Results'!$L$3,
IF('DGNB LCA Results'!$P$4=1,VLOOKUP(CONCATENATE('DGNB LCA Results'!$M$3,"_",E565), $A$2:$F$550,3,FALSE)*'DGNB LCA Results'!$N$3,0))))</f>
        <v>0</v>
      </c>
      <c r="D565">
        <f>IF('DGNB LCA Results'!$P$4=4,VLOOKUP(CONCATENATE('DGNB LCA Results'!$M$3,"_",E565), $A$2:$F$550,4,FALSE)*'DGNB LCA Results'!$N$3+
                                                                  VLOOKUP(CONCATENATE('DGNB LCA Results'!$K$3,"_",E565), $A$2:$F$550,4,FALSE)*'DGNB LCA Results'!$L$3+
                                                                  VLOOKUP(CONCATENATE('DGNB LCA Results'!$I$3,"_",E565),$A$2:$F$550,4,FALSE)*'DGNB LCA Results'!$J$3+
                                                                  VLOOKUP(CONCATENATE('DGNB LCA Results'!$G$3,"_",E565), $A$2:$F$550,4,FALSE)*'DGNB LCA Results'!$H$3,
IF('DGNB LCA Results'!$P$4=3,VLOOKUP(CONCATENATE('DGNB LCA Results'!$M$3,"_",E565), $A$2:$F$550,4,FALSE)*'DGNB LCA Results'!$N$3+
                                                                VLOOKUP(CONCATENATE('DGNB LCA Results'!$K$3,"_",E565), $A$2:$F$550,4,FALSE)*'DGNB LCA Results'!$L$3+
                                                                VLOOKUP(CONCATENATE('DGNB LCA Results'!$I$3,"_",E565),$A$2:$F$550,4,FALSE)*'DGNB LCA Results'!$J$3,
IF('DGNB LCA Results'!$P$4=2,VLOOKUP(CONCATENATE('DGNB LCA Results'!$M$3,"_",E565), $A$2:$F$550,4,FALSE)*'DGNB LCA Results'!$N$3+
                                                                 VLOOKUP(CONCATENATE('DGNB LCA Results'!$K$3,"_",E565),$A$2:$F$550,4,FALSE)*'DGNB LCA Results'!$L$3,
IF('DGNB LCA Results'!$P$4=1,VLOOKUP(CONCATENATE('DGNB LCA Results'!$M$3,"_",E565), $A$2:$F$550,4,FALSE)*'DGNB LCA Results'!$N$3,0))))</f>
        <v>0</v>
      </c>
      <c r="E565">
        <v>20</v>
      </c>
      <c r="F565" t="s">
        <v>193</v>
      </c>
    </row>
    <row r="566" spans="1:6" x14ac:dyDescent="0.2">
      <c r="A566" t="str">
        <f t="shared" si="8"/>
        <v>MIX12_25</v>
      </c>
      <c r="B566">
        <f>IF('DGNB LCA Results'!$P$4=4,VLOOKUP(CONCATENATE('DGNB LCA Results'!$M$3,"_",E566), $A$2:$F$550,2,FALSE)*'DGNB LCA Results'!$N$3+
                                                                  VLOOKUP(CONCATENATE('DGNB LCA Results'!$K$3,"_",E566), $A$2:$F$550,2,FALSE)*'DGNB LCA Results'!$L$3+
                                                                  VLOOKUP(CONCATENATE('DGNB LCA Results'!$I$3,"_",E566),$A$2:$F$550,2,FALSE)*'DGNB LCA Results'!$J$3+
                                                                  VLOOKUP(CONCATENATE('DGNB LCA Results'!$G$3,"_",E566), $A$2:$F$550,2,FALSE)*'DGNB LCA Results'!$H$3,
IF('DGNB LCA Results'!$P$4=3,VLOOKUP(CONCATENATE('DGNB LCA Results'!$M$3,"_",E566), $A$2:$F$550,2,FALSE)*'DGNB LCA Results'!$N$3+
                                                                VLOOKUP(CONCATENATE('DGNB LCA Results'!$K$3,"_",E566), $A$2:$F$550,2,FALSE)*'DGNB LCA Results'!$L$3+
                                                                VLOOKUP(CONCATENATE('DGNB LCA Results'!$I$3,"_",E566),$A$2:$F$550,2,FALSE)*'DGNB LCA Results'!$J$3,
IF('DGNB LCA Results'!$P$4=2,VLOOKUP(CONCATENATE('DGNB LCA Results'!$M$3,"_",E566), $A$2:$F$550,2,FALSE)*'DGNB LCA Results'!$N$3+
                                                                 VLOOKUP(CONCATENATE('DGNB LCA Results'!$K$3,"_",E566),$A$2:$F$550,2,FALSE)*'DGNB LCA Results'!$L$3,
IF('DGNB LCA Results'!$P$4=1,VLOOKUP(CONCATENATE('DGNB LCA Results'!$M$3,"_",E566), $A$2:$F$550,2,FALSE)*'DGNB LCA Results'!$N$3,0))))</f>
        <v>0</v>
      </c>
      <c r="C566">
        <f>IF('DGNB LCA Results'!$P$4=4,VLOOKUP(CONCATENATE('DGNB LCA Results'!$M$3,"_",E566), $A$2:$F$550,3,FALSE)*'DGNB LCA Results'!$N$3+
                                                                  VLOOKUP(CONCATENATE('DGNB LCA Results'!$K$3,"_",E566), $A$2:$F$550,3,FALSE)*'DGNB LCA Results'!$L$3+
                                                                  VLOOKUP(CONCATENATE('DGNB LCA Results'!$I$3,"_",E566),$A$2:$F$550,3,FALSE)*'DGNB LCA Results'!$J$3+
                                                                  VLOOKUP(CONCATENATE('DGNB LCA Results'!$G$3,"_",E566), $A$2:$F$550,3,FALSE)*'DGNB LCA Results'!$H$3,
IF('DGNB LCA Results'!$P$4=3,VLOOKUP(CONCATENATE('DGNB LCA Results'!$M$3,"_",E566), $A$2:$F$550,3,FALSE)*'DGNB LCA Results'!$N$3+
                                                                VLOOKUP(CONCATENATE('DGNB LCA Results'!$K$3,"_",E566), $A$2:$F$550,3,FALSE)*'DGNB LCA Results'!$L$3+
                                                                VLOOKUP(CONCATENATE('DGNB LCA Results'!$I$3,"_",E566),$A$2:$F$550,3,FALSE)*'DGNB LCA Results'!$J$3,
IF('DGNB LCA Results'!$P$4=2,VLOOKUP(CONCATENATE('DGNB LCA Results'!$M$3,"_",E566), $A$2:$F$550,3,FALSE)*'DGNB LCA Results'!$N$3+
                                                                 VLOOKUP(CONCATENATE('DGNB LCA Results'!$K$3,"_",E566),$A$2:$F$550,3,FALSE)*'DGNB LCA Results'!$L$3,
IF('DGNB LCA Results'!$P$4=1,VLOOKUP(CONCATENATE('DGNB LCA Results'!$M$3,"_",E566), $A$2:$F$550,3,FALSE)*'DGNB LCA Results'!$N$3,0))))</f>
        <v>0</v>
      </c>
      <c r="D566">
        <f>IF('DGNB LCA Results'!$P$4=4,VLOOKUP(CONCATENATE('DGNB LCA Results'!$M$3,"_",E566), $A$2:$F$550,4,FALSE)*'DGNB LCA Results'!$N$3+
                                                                  VLOOKUP(CONCATENATE('DGNB LCA Results'!$K$3,"_",E566), $A$2:$F$550,4,FALSE)*'DGNB LCA Results'!$L$3+
                                                                  VLOOKUP(CONCATENATE('DGNB LCA Results'!$I$3,"_",E566),$A$2:$F$550,4,FALSE)*'DGNB LCA Results'!$J$3+
                                                                  VLOOKUP(CONCATENATE('DGNB LCA Results'!$G$3,"_",E566), $A$2:$F$550,4,FALSE)*'DGNB LCA Results'!$H$3,
IF('DGNB LCA Results'!$P$4=3,VLOOKUP(CONCATENATE('DGNB LCA Results'!$M$3,"_",E566), $A$2:$F$550,4,FALSE)*'DGNB LCA Results'!$N$3+
                                                                VLOOKUP(CONCATENATE('DGNB LCA Results'!$K$3,"_",E566), $A$2:$F$550,4,FALSE)*'DGNB LCA Results'!$L$3+
                                                                VLOOKUP(CONCATENATE('DGNB LCA Results'!$I$3,"_",E566),$A$2:$F$550,4,FALSE)*'DGNB LCA Results'!$J$3,
IF('DGNB LCA Results'!$P$4=2,VLOOKUP(CONCATENATE('DGNB LCA Results'!$M$3,"_",E566), $A$2:$F$550,4,FALSE)*'DGNB LCA Results'!$N$3+
                                                                 VLOOKUP(CONCATENATE('DGNB LCA Results'!$K$3,"_",E566),$A$2:$F$550,4,FALSE)*'DGNB LCA Results'!$L$3,
IF('DGNB LCA Results'!$P$4=1,VLOOKUP(CONCATENATE('DGNB LCA Results'!$M$3,"_",E566), $A$2:$F$550,4,FALSE)*'DGNB LCA Results'!$N$3,0))))</f>
        <v>0</v>
      </c>
      <c r="E566">
        <v>25</v>
      </c>
      <c r="F566" t="s">
        <v>193</v>
      </c>
    </row>
    <row r="567" spans="1:6" x14ac:dyDescent="0.2">
      <c r="A567" t="str">
        <f t="shared" si="8"/>
        <v>MIX12_30</v>
      </c>
      <c r="B567">
        <f>IF('DGNB LCA Results'!$P$4=4,VLOOKUP(CONCATENATE('DGNB LCA Results'!$M$3,"_",E567), $A$2:$F$550,2,FALSE)*'DGNB LCA Results'!$N$3+
                                                                  VLOOKUP(CONCATENATE('DGNB LCA Results'!$K$3,"_",E567), $A$2:$F$550,2,FALSE)*'DGNB LCA Results'!$L$3+
                                                                  VLOOKUP(CONCATENATE('DGNB LCA Results'!$I$3,"_",E567),$A$2:$F$550,2,FALSE)*'DGNB LCA Results'!$J$3+
                                                                  VLOOKUP(CONCATENATE('DGNB LCA Results'!$G$3,"_",E567), $A$2:$F$550,2,FALSE)*'DGNB LCA Results'!$H$3,
IF('DGNB LCA Results'!$P$4=3,VLOOKUP(CONCATENATE('DGNB LCA Results'!$M$3,"_",E567), $A$2:$F$550,2,FALSE)*'DGNB LCA Results'!$N$3+
                                                                VLOOKUP(CONCATENATE('DGNB LCA Results'!$K$3,"_",E567), $A$2:$F$550,2,FALSE)*'DGNB LCA Results'!$L$3+
                                                                VLOOKUP(CONCATENATE('DGNB LCA Results'!$I$3,"_",E567),$A$2:$F$550,2,FALSE)*'DGNB LCA Results'!$J$3,
IF('DGNB LCA Results'!$P$4=2,VLOOKUP(CONCATENATE('DGNB LCA Results'!$M$3,"_",E567), $A$2:$F$550,2,FALSE)*'DGNB LCA Results'!$N$3+
                                                                 VLOOKUP(CONCATENATE('DGNB LCA Results'!$K$3,"_",E567),$A$2:$F$550,2,FALSE)*'DGNB LCA Results'!$L$3,
IF('DGNB LCA Results'!$P$4=1,VLOOKUP(CONCATENATE('DGNB LCA Results'!$M$3,"_",E567), $A$2:$F$550,2,FALSE)*'DGNB LCA Results'!$N$3,0))))</f>
        <v>0</v>
      </c>
      <c r="C567">
        <f>IF('DGNB LCA Results'!$P$4=4,VLOOKUP(CONCATENATE('DGNB LCA Results'!$M$3,"_",E567), $A$2:$F$550,3,FALSE)*'DGNB LCA Results'!$N$3+
                                                                  VLOOKUP(CONCATENATE('DGNB LCA Results'!$K$3,"_",E567), $A$2:$F$550,3,FALSE)*'DGNB LCA Results'!$L$3+
                                                                  VLOOKUP(CONCATENATE('DGNB LCA Results'!$I$3,"_",E567),$A$2:$F$550,3,FALSE)*'DGNB LCA Results'!$J$3+
                                                                  VLOOKUP(CONCATENATE('DGNB LCA Results'!$G$3,"_",E567), $A$2:$F$550,3,FALSE)*'DGNB LCA Results'!$H$3,
IF('DGNB LCA Results'!$P$4=3,VLOOKUP(CONCATENATE('DGNB LCA Results'!$M$3,"_",E567), $A$2:$F$550,3,FALSE)*'DGNB LCA Results'!$N$3+
                                                                VLOOKUP(CONCATENATE('DGNB LCA Results'!$K$3,"_",E567), $A$2:$F$550,3,FALSE)*'DGNB LCA Results'!$L$3+
                                                                VLOOKUP(CONCATENATE('DGNB LCA Results'!$I$3,"_",E567),$A$2:$F$550,3,FALSE)*'DGNB LCA Results'!$J$3,
IF('DGNB LCA Results'!$P$4=2,VLOOKUP(CONCATENATE('DGNB LCA Results'!$M$3,"_",E567), $A$2:$F$550,3,FALSE)*'DGNB LCA Results'!$N$3+
                                                                 VLOOKUP(CONCATENATE('DGNB LCA Results'!$K$3,"_",E567),$A$2:$F$550,3,FALSE)*'DGNB LCA Results'!$L$3,
IF('DGNB LCA Results'!$P$4=1,VLOOKUP(CONCATENATE('DGNB LCA Results'!$M$3,"_",E567), $A$2:$F$550,3,FALSE)*'DGNB LCA Results'!$N$3,0))))</f>
        <v>0</v>
      </c>
      <c r="D567">
        <f>IF('DGNB LCA Results'!$P$4=4,VLOOKUP(CONCATENATE('DGNB LCA Results'!$M$3,"_",E567), $A$2:$F$550,4,FALSE)*'DGNB LCA Results'!$N$3+
                                                                  VLOOKUP(CONCATENATE('DGNB LCA Results'!$K$3,"_",E567), $A$2:$F$550,4,FALSE)*'DGNB LCA Results'!$L$3+
                                                                  VLOOKUP(CONCATENATE('DGNB LCA Results'!$I$3,"_",E567),$A$2:$F$550,4,FALSE)*'DGNB LCA Results'!$J$3+
                                                                  VLOOKUP(CONCATENATE('DGNB LCA Results'!$G$3,"_",E567), $A$2:$F$550,4,FALSE)*'DGNB LCA Results'!$H$3,
IF('DGNB LCA Results'!$P$4=3,VLOOKUP(CONCATENATE('DGNB LCA Results'!$M$3,"_",E567), $A$2:$F$550,4,FALSE)*'DGNB LCA Results'!$N$3+
                                                                VLOOKUP(CONCATENATE('DGNB LCA Results'!$K$3,"_",E567), $A$2:$F$550,4,FALSE)*'DGNB LCA Results'!$L$3+
                                                                VLOOKUP(CONCATENATE('DGNB LCA Results'!$I$3,"_",E567),$A$2:$F$550,4,FALSE)*'DGNB LCA Results'!$J$3,
IF('DGNB LCA Results'!$P$4=2,VLOOKUP(CONCATENATE('DGNB LCA Results'!$M$3,"_",E567), $A$2:$F$550,4,FALSE)*'DGNB LCA Results'!$N$3+
                                                                 VLOOKUP(CONCATENATE('DGNB LCA Results'!$K$3,"_",E567),$A$2:$F$550,4,FALSE)*'DGNB LCA Results'!$L$3,
IF('DGNB LCA Results'!$P$4=1,VLOOKUP(CONCATENATE('DGNB LCA Results'!$M$3,"_",E567), $A$2:$F$550,4,FALSE)*'DGNB LCA Results'!$N$3,0))))</f>
        <v>0</v>
      </c>
      <c r="E567">
        <v>30</v>
      </c>
      <c r="F567" t="s">
        <v>193</v>
      </c>
    </row>
    <row r="568" spans="1:6" x14ac:dyDescent="0.2">
      <c r="A568" t="str">
        <f t="shared" si="8"/>
        <v>MIX12_35</v>
      </c>
      <c r="B568">
        <f>IF('DGNB LCA Results'!$P$4=4,VLOOKUP(CONCATENATE('DGNB LCA Results'!$M$3,"_",E568), $A$2:$F$550,2,FALSE)*'DGNB LCA Results'!$N$3+
                                                                  VLOOKUP(CONCATENATE('DGNB LCA Results'!$K$3,"_",E568), $A$2:$F$550,2,FALSE)*'DGNB LCA Results'!$L$3+
                                                                  VLOOKUP(CONCATENATE('DGNB LCA Results'!$I$3,"_",E568),$A$2:$F$550,2,FALSE)*'DGNB LCA Results'!$J$3+
                                                                  VLOOKUP(CONCATENATE('DGNB LCA Results'!$G$3,"_",E568), $A$2:$F$550,2,FALSE)*'DGNB LCA Results'!$H$3,
IF('DGNB LCA Results'!$P$4=3,VLOOKUP(CONCATENATE('DGNB LCA Results'!$M$3,"_",E568), $A$2:$F$550,2,FALSE)*'DGNB LCA Results'!$N$3+
                                                                VLOOKUP(CONCATENATE('DGNB LCA Results'!$K$3,"_",E568), $A$2:$F$550,2,FALSE)*'DGNB LCA Results'!$L$3+
                                                                VLOOKUP(CONCATENATE('DGNB LCA Results'!$I$3,"_",E568),$A$2:$F$550,2,FALSE)*'DGNB LCA Results'!$J$3,
IF('DGNB LCA Results'!$P$4=2,VLOOKUP(CONCATENATE('DGNB LCA Results'!$M$3,"_",E568), $A$2:$F$550,2,FALSE)*'DGNB LCA Results'!$N$3+
                                                                 VLOOKUP(CONCATENATE('DGNB LCA Results'!$K$3,"_",E568),$A$2:$F$550,2,FALSE)*'DGNB LCA Results'!$L$3,
IF('DGNB LCA Results'!$P$4=1,VLOOKUP(CONCATENATE('DGNB LCA Results'!$M$3,"_",E568), $A$2:$F$550,2,FALSE)*'DGNB LCA Results'!$N$3,0))))</f>
        <v>0</v>
      </c>
      <c r="C568">
        <f>IF('DGNB LCA Results'!$P$4=4,VLOOKUP(CONCATENATE('DGNB LCA Results'!$M$3,"_",E568), $A$2:$F$550,3,FALSE)*'DGNB LCA Results'!$N$3+
                                                                  VLOOKUP(CONCATENATE('DGNB LCA Results'!$K$3,"_",E568), $A$2:$F$550,3,FALSE)*'DGNB LCA Results'!$L$3+
                                                                  VLOOKUP(CONCATENATE('DGNB LCA Results'!$I$3,"_",E568),$A$2:$F$550,3,FALSE)*'DGNB LCA Results'!$J$3+
                                                                  VLOOKUP(CONCATENATE('DGNB LCA Results'!$G$3,"_",E568), $A$2:$F$550,3,FALSE)*'DGNB LCA Results'!$H$3,
IF('DGNB LCA Results'!$P$4=3,VLOOKUP(CONCATENATE('DGNB LCA Results'!$M$3,"_",E568), $A$2:$F$550,3,FALSE)*'DGNB LCA Results'!$N$3+
                                                                VLOOKUP(CONCATENATE('DGNB LCA Results'!$K$3,"_",E568), $A$2:$F$550,3,FALSE)*'DGNB LCA Results'!$L$3+
                                                                VLOOKUP(CONCATENATE('DGNB LCA Results'!$I$3,"_",E568),$A$2:$F$550,3,FALSE)*'DGNB LCA Results'!$J$3,
IF('DGNB LCA Results'!$P$4=2,VLOOKUP(CONCATENATE('DGNB LCA Results'!$M$3,"_",E568), $A$2:$F$550,3,FALSE)*'DGNB LCA Results'!$N$3+
                                                                 VLOOKUP(CONCATENATE('DGNB LCA Results'!$K$3,"_",E568),$A$2:$F$550,3,FALSE)*'DGNB LCA Results'!$L$3,
IF('DGNB LCA Results'!$P$4=1,VLOOKUP(CONCATENATE('DGNB LCA Results'!$M$3,"_",E568), $A$2:$F$550,3,FALSE)*'DGNB LCA Results'!$N$3,0))))</f>
        <v>0</v>
      </c>
      <c r="D568">
        <f>IF('DGNB LCA Results'!$P$4=4,VLOOKUP(CONCATENATE('DGNB LCA Results'!$M$3,"_",E568), $A$2:$F$550,4,FALSE)*'DGNB LCA Results'!$N$3+
                                                                  VLOOKUP(CONCATENATE('DGNB LCA Results'!$K$3,"_",E568), $A$2:$F$550,4,FALSE)*'DGNB LCA Results'!$L$3+
                                                                  VLOOKUP(CONCATENATE('DGNB LCA Results'!$I$3,"_",E568),$A$2:$F$550,4,FALSE)*'DGNB LCA Results'!$J$3+
                                                                  VLOOKUP(CONCATENATE('DGNB LCA Results'!$G$3,"_",E568), $A$2:$F$550,4,FALSE)*'DGNB LCA Results'!$H$3,
IF('DGNB LCA Results'!$P$4=3,VLOOKUP(CONCATENATE('DGNB LCA Results'!$M$3,"_",E568), $A$2:$F$550,4,FALSE)*'DGNB LCA Results'!$N$3+
                                                                VLOOKUP(CONCATENATE('DGNB LCA Results'!$K$3,"_",E568), $A$2:$F$550,4,FALSE)*'DGNB LCA Results'!$L$3+
                                                                VLOOKUP(CONCATENATE('DGNB LCA Results'!$I$3,"_",E568),$A$2:$F$550,4,FALSE)*'DGNB LCA Results'!$J$3,
IF('DGNB LCA Results'!$P$4=2,VLOOKUP(CONCATENATE('DGNB LCA Results'!$M$3,"_",E568), $A$2:$F$550,4,FALSE)*'DGNB LCA Results'!$N$3+
                                                                 VLOOKUP(CONCATENATE('DGNB LCA Results'!$K$3,"_",E568),$A$2:$F$550,4,FALSE)*'DGNB LCA Results'!$L$3,
IF('DGNB LCA Results'!$P$4=1,VLOOKUP(CONCATENATE('DGNB LCA Results'!$M$3,"_",E568), $A$2:$F$550,4,FALSE)*'DGNB LCA Results'!$N$3,0))))</f>
        <v>0</v>
      </c>
      <c r="E568">
        <v>35</v>
      </c>
      <c r="F568" t="s">
        <v>193</v>
      </c>
    </row>
    <row r="569" spans="1:6" x14ac:dyDescent="0.2">
      <c r="A569" t="str">
        <f t="shared" si="8"/>
        <v>MIX12_40</v>
      </c>
      <c r="B569">
        <f>IF('DGNB LCA Results'!$P$4=4,VLOOKUP(CONCATENATE('DGNB LCA Results'!$M$3,"_",E569), $A$2:$F$550,2,FALSE)*'DGNB LCA Results'!$N$3+
                                                                  VLOOKUP(CONCATENATE('DGNB LCA Results'!$K$3,"_",E569), $A$2:$F$550,2,FALSE)*'DGNB LCA Results'!$L$3+
                                                                  VLOOKUP(CONCATENATE('DGNB LCA Results'!$I$3,"_",E569),$A$2:$F$550,2,FALSE)*'DGNB LCA Results'!$J$3+
                                                                  VLOOKUP(CONCATENATE('DGNB LCA Results'!$G$3,"_",E569), $A$2:$F$550,2,FALSE)*'DGNB LCA Results'!$H$3,
IF('DGNB LCA Results'!$P$4=3,VLOOKUP(CONCATENATE('DGNB LCA Results'!$M$3,"_",E569), $A$2:$F$550,2,FALSE)*'DGNB LCA Results'!$N$3+
                                                                VLOOKUP(CONCATENATE('DGNB LCA Results'!$K$3,"_",E569), $A$2:$F$550,2,FALSE)*'DGNB LCA Results'!$L$3+
                                                                VLOOKUP(CONCATENATE('DGNB LCA Results'!$I$3,"_",E569),$A$2:$F$550,2,FALSE)*'DGNB LCA Results'!$J$3,
IF('DGNB LCA Results'!$P$4=2,VLOOKUP(CONCATENATE('DGNB LCA Results'!$M$3,"_",E569), $A$2:$F$550,2,FALSE)*'DGNB LCA Results'!$N$3+
                                                                 VLOOKUP(CONCATENATE('DGNB LCA Results'!$K$3,"_",E569),$A$2:$F$550,2,FALSE)*'DGNB LCA Results'!$L$3,
IF('DGNB LCA Results'!$P$4=1,VLOOKUP(CONCATENATE('DGNB LCA Results'!$M$3,"_",E569), $A$2:$F$550,2,FALSE)*'DGNB LCA Results'!$N$3,0))))</f>
        <v>0</v>
      </c>
      <c r="C569">
        <f>IF('DGNB LCA Results'!$P$4=4,VLOOKUP(CONCATENATE('DGNB LCA Results'!$M$3,"_",E569), $A$2:$F$550,3,FALSE)*'DGNB LCA Results'!$N$3+
                                                                  VLOOKUP(CONCATENATE('DGNB LCA Results'!$K$3,"_",E569), $A$2:$F$550,3,FALSE)*'DGNB LCA Results'!$L$3+
                                                                  VLOOKUP(CONCATENATE('DGNB LCA Results'!$I$3,"_",E569),$A$2:$F$550,3,FALSE)*'DGNB LCA Results'!$J$3+
                                                                  VLOOKUP(CONCATENATE('DGNB LCA Results'!$G$3,"_",E569), $A$2:$F$550,3,FALSE)*'DGNB LCA Results'!$H$3,
IF('DGNB LCA Results'!$P$4=3,VLOOKUP(CONCATENATE('DGNB LCA Results'!$M$3,"_",E569), $A$2:$F$550,3,FALSE)*'DGNB LCA Results'!$N$3+
                                                                VLOOKUP(CONCATENATE('DGNB LCA Results'!$K$3,"_",E569), $A$2:$F$550,3,FALSE)*'DGNB LCA Results'!$L$3+
                                                                VLOOKUP(CONCATENATE('DGNB LCA Results'!$I$3,"_",E569),$A$2:$F$550,3,FALSE)*'DGNB LCA Results'!$J$3,
IF('DGNB LCA Results'!$P$4=2,VLOOKUP(CONCATENATE('DGNB LCA Results'!$M$3,"_",E569), $A$2:$F$550,3,FALSE)*'DGNB LCA Results'!$N$3+
                                                                 VLOOKUP(CONCATENATE('DGNB LCA Results'!$K$3,"_",E569),$A$2:$F$550,3,FALSE)*'DGNB LCA Results'!$L$3,
IF('DGNB LCA Results'!$P$4=1,VLOOKUP(CONCATENATE('DGNB LCA Results'!$M$3,"_",E569), $A$2:$F$550,3,FALSE)*'DGNB LCA Results'!$N$3,0))))</f>
        <v>0</v>
      </c>
      <c r="D569">
        <f>IF('DGNB LCA Results'!$P$4=4,VLOOKUP(CONCATENATE('DGNB LCA Results'!$M$3,"_",E569), $A$2:$F$550,4,FALSE)*'DGNB LCA Results'!$N$3+
                                                                  VLOOKUP(CONCATENATE('DGNB LCA Results'!$K$3,"_",E569), $A$2:$F$550,4,FALSE)*'DGNB LCA Results'!$L$3+
                                                                  VLOOKUP(CONCATENATE('DGNB LCA Results'!$I$3,"_",E569),$A$2:$F$550,4,FALSE)*'DGNB LCA Results'!$J$3+
                                                                  VLOOKUP(CONCATENATE('DGNB LCA Results'!$G$3,"_",E569), $A$2:$F$550,4,FALSE)*'DGNB LCA Results'!$H$3,
IF('DGNB LCA Results'!$P$4=3,VLOOKUP(CONCATENATE('DGNB LCA Results'!$M$3,"_",E569), $A$2:$F$550,4,FALSE)*'DGNB LCA Results'!$N$3+
                                                                VLOOKUP(CONCATENATE('DGNB LCA Results'!$K$3,"_",E569), $A$2:$F$550,4,FALSE)*'DGNB LCA Results'!$L$3+
                                                                VLOOKUP(CONCATENATE('DGNB LCA Results'!$I$3,"_",E569),$A$2:$F$550,4,FALSE)*'DGNB LCA Results'!$J$3,
IF('DGNB LCA Results'!$P$4=2,VLOOKUP(CONCATENATE('DGNB LCA Results'!$M$3,"_",E569), $A$2:$F$550,4,FALSE)*'DGNB LCA Results'!$N$3+
                                                                 VLOOKUP(CONCATENATE('DGNB LCA Results'!$K$3,"_",E569),$A$2:$F$550,4,FALSE)*'DGNB LCA Results'!$L$3,
IF('DGNB LCA Results'!$P$4=1,VLOOKUP(CONCATENATE('DGNB LCA Results'!$M$3,"_",E569), $A$2:$F$550,4,FALSE)*'DGNB LCA Results'!$N$3,0))))</f>
        <v>0</v>
      </c>
      <c r="E569">
        <v>40</v>
      </c>
      <c r="F569" t="s">
        <v>193</v>
      </c>
    </row>
    <row r="570" spans="1:6" x14ac:dyDescent="0.2">
      <c r="A570" t="str">
        <f t="shared" si="8"/>
        <v>MIX12_45</v>
      </c>
      <c r="B570">
        <f>IF('DGNB LCA Results'!$P$4=4,VLOOKUP(CONCATENATE('DGNB LCA Results'!$M$3,"_",E570), $A$2:$F$550,2,FALSE)*'DGNB LCA Results'!$N$3+
                                                                  VLOOKUP(CONCATENATE('DGNB LCA Results'!$K$3,"_",E570), $A$2:$F$550,2,FALSE)*'DGNB LCA Results'!$L$3+
                                                                  VLOOKUP(CONCATENATE('DGNB LCA Results'!$I$3,"_",E570),$A$2:$F$550,2,FALSE)*'DGNB LCA Results'!$J$3+
                                                                  VLOOKUP(CONCATENATE('DGNB LCA Results'!$G$3,"_",E570), $A$2:$F$550,2,FALSE)*'DGNB LCA Results'!$H$3,
IF('DGNB LCA Results'!$P$4=3,VLOOKUP(CONCATENATE('DGNB LCA Results'!$M$3,"_",E570), $A$2:$F$550,2,FALSE)*'DGNB LCA Results'!$N$3+
                                                                VLOOKUP(CONCATENATE('DGNB LCA Results'!$K$3,"_",E570), $A$2:$F$550,2,FALSE)*'DGNB LCA Results'!$L$3+
                                                                VLOOKUP(CONCATENATE('DGNB LCA Results'!$I$3,"_",E570),$A$2:$F$550,2,FALSE)*'DGNB LCA Results'!$J$3,
IF('DGNB LCA Results'!$P$4=2,VLOOKUP(CONCATENATE('DGNB LCA Results'!$M$3,"_",E570), $A$2:$F$550,2,FALSE)*'DGNB LCA Results'!$N$3+
                                                                 VLOOKUP(CONCATENATE('DGNB LCA Results'!$K$3,"_",E570),$A$2:$F$550,2,FALSE)*'DGNB LCA Results'!$L$3,
IF('DGNB LCA Results'!$P$4=1,VLOOKUP(CONCATENATE('DGNB LCA Results'!$M$3,"_",E570), $A$2:$F$550,2,FALSE)*'DGNB LCA Results'!$N$3,0))))</f>
        <v>0</v>
      </c>
      <c r="C570">
        <f>IF('DGNB LCA Results'!$P$4=4,VLOOKUP(CONCATENATE('DGNB LCA Results'!$M$3,"_",E570), $A$2:$F$550,3,FALSE)*'DGNB LCA Results'!$N$3+
                                                                  VLOOKUP(CONCATENATE('DGNB LCA Results'!$K$3,"_",E570), $A$2:$F$550,3,FALSE)*'DGNB LCA Results'!$L$3+
                                                                  VLOOKUP(CONCATENATE('DGNB LCA Results'!$I$3,"_",E570),$A$2:$F$550,3,FALSE)*'DGNB LCA Results'!$J$3+
                                                                  VLOOKUP(CONCATENATE('DGNB LCA Results'!$G$3,"_",E570), $A$2:$F$550,3,FALSE)*'DGNB LCA Results'!$H$3,
IF('DGNB LCA Results'!$P$4=3,VLOOKUP(CONCATENATE('DGNB LCA Results'!$M$3,"_",E570), $A$2:$F$550,3,FALSE)*'DGNB LCA Results'!$N$3+
                                                                VLOOKUP(CONCATENATE('DGNB LCA Results'!$K$3,"_",E570), $A$2:$F$550,3,FALSE)*'DGNB LCA Results'!$L$3+
                                                                VLOOKUP(CONCATENATE('DGNB LCA Results'!$I$3,"_",E570),$A$2:$F$550,3,FALSE)*'DGNB LCA Results'!$J$3,
IF('DGNB LCA Results'!$P$4=2,VLOOKUP(CONCATENATE('DGNB LCA Results'!$M$3,"_",E570), $A$2:$F$550,3,FALSE)*'DGNB LCA Results'!$N$3+
                                                                 VLOOKUP(CONCATENATE('DGNB LCA Results'!$K$3,"_",E570),$A$2:$F$550,3,FALSE)*'DGNB LCA Results'!$L$3,
IF('DGNB LCA Results'!$P$4=1,VLOOKUP(CONCATENATE('DGNB LCA Results'!$M$3,"_",E570), $A$2:$F$550,3,FALSE)*'DGNB LCA Results'!$N$3,0))))</f>
        <v>0</v>
      </c>
      <c r="D570">
        <f>IF('DGNB LCA Results'!$P$4=4,VLOOKUP(CONCATENATE('DGNB LCA Results'!$M$3,"_",E570), $A$2:$F$550,4,FALSE)*'DGNB LCA Results'!$N$3+
                                                                  VLOOKUP(CONCATENATE('DGNB LCA Results'!$K$3,"_",E570), $A$2:$F$550,4,FALSE)*'DGNB LCA Results'!$L$3+
                                                                  VLOOKUP(CONCATENATE('DGNB LCA Results'!$I$3,"_",E570),$A$2:$F$550,4,FALSE)*'DGNB LCA Results'!$J$3+
                                                                  VLOOKUP(CONCATENATE('DGNB LCA Results'!$G$3,"_",E570), $A$2:$F$550,4,FALSE)*'DGNB LCA Results'!$H$3,
IF('DGNB LCA Results'!$P$4=3,VLOOKUP(CONCATENATE('DGNB LCA Results'!$M$3,"_",E570), $A$2:$F$550,4,FALSE)*'DGNB LCA Results'!$N$3+
                                                                VLOOKUP(CONCATENATE('DGNB LCA Results'!$K$3,"_",E570), $A$2:$F$550,4,FALSE)*'DGNB LCA Results'!$L$3+
                                                                VLOOKUP(CONCATENATE('DGNB LCA Results'!$I$3,"_",E570),$A$2:$F$550,4,FALSE)*'DGNB LCA Results'!$J$3,
IF('DGNB LCA Results'!$P$4=2,VLOOKUP(CONCATENATE('DGNB LCA Results'!$M$3,"_",E570), $A$2:$F$550,4,FALSE)*'DGNB LCA Results'!$N$3+
                                                                 VLOOKUP(CONCATENATE('DGNB LCA Results'!$K$3,"_",E570),$A$2:$F$550,4,FALSE)*'DGNB LCA Results'!$L$3,
IF('DGNB LCA Results'!$P$4=1,VLOOKUP(CONCATENATE('DGNB LCA Results'!$M$3,"_",E570), $A$2:$F$550,4,FALSE)*'DGNB LCA Results'!$N$3,0))))</f>
        <v>0</v>
      </c>
      <c r="E570">
        <v>45</v>
      </c>
      <c r="F570" t="s">
        <v>193</v>
      </c>
    </row>
    <row r="571" spans="1:6" x14ac:dyDescent="0.2">
      <c r="A571" t="str">
        <f t="shared" si="8"/>
        <v>MIX12_50</v>
      </c>
      <c r="B571">
        <f>IF('DGNB LCA Results'!$P$4=4,VLOOKUP(CONCATENATE('DGNB LCA Results'!$M$3,"_",E571), $A$2:$F$550,2,FALSE)*'DGNB LCA Results'!$N$3+
                                                                  VLOOKUP(CONCATENATE('DGNB LCA Results'!$K$3,"_",E571), $A$2:$F$550,2,FALSE)*'DGNB LCA Results'!$L$3+
                                                                  VLOOKUP(CONCATENATE('DGNB LCA Results'!$I$3,"_",E571),$A$2:$F$550,2,FALSE)*'DGNB LCA Results'!$J$3+
                                                                  VLOOKUP(CONCATENATE('DGNB LCA Results'!$G$3,"_",E571), $A$2:$F$550,2,FALSE)*'DGNB LCA Results'!$H$3,
IF('DGNB LCA Results'!$P$4=3,VLOOKUP(CONCATENATE('DGNB LCA Results'!$M$3,"_",E571), $A$2:$F$550,2,FALSE)*'DGNB LCA Results'!$N$3+
                                                                VLOOKUP(CONCATENATE('DGNB LCA Results'!$K$3,"_",E571), $A$2:$F$550,2,FALSE)*'DGNB LCA Results'!$L$3+
                                                                VLOOKUP(CONCATENATE('DGNB LCA Results'!$I$3,"_",E571),$A$2:$F$550,2,FALSE)*'DGNB LCA Results'!$J$3,
IF('DGNB LCA Results'!$P$4=2,VLOOKUP(CONCATENATE('DGNB LCA Results'!$M$3,"_",E571), $A$2:$F$550,2,FALSE)*'DGNB LCA Results'!$N$3+
                                                                 VLOOKUP(CONCATENATE('DGNB LCA Results'!$K$3,"_",E571),$A$2:$F$550,2,FALSE)*'DGNB LCA Results'!$L$3,
IF('DGNB LCA Results'!$P$4=1,VLOOKUP(CONCATENATE('DGNB LCA Results'!$M$3,"_",E571), $A$2:$F$550,2,FALSE)*'DGNB LCA Results'!$N$3,0))))</f>
        <v>0</v>
      </c>
      <c r="C571">
        <f>IF('DGNB LCA Results'!$P$4=4,VLOOKUP(CONCATENATE('DGNB LCA Results'!$M$3,"_",E571), $A$2:$F$550,3,FALSE)*'DGNB LCA Results'!$N$3+
                                                                  VLOOKUP(CONCATENATE('DGNB LCA Results'!$K$3,"_",E571), $A$2:$F$550,3,FALSE)*'DGNB LCA Results'!$L$3+
                                                                  VLOOKUP(CONCATENATE('DGNB LCA Results'!$I$3,"_",E571),$A$2:$F$550,3,FALSE)*'DGNB LCA Results'!$J$3+
                                                                  VLOOKUP(CONCATENATE('DGNB LCA Results'!$G$3,"_",E571), $A$2:$F$550,3,FALSE)*'DGNB LCA Results'!$H$3,
IF('DGNB LCA Results'!$P$4=3,VLOOKUP(CONCATENATE('DGNB LCA Results'!$M$3,"_",E571), $A$2:$F$550,3,FALSE)*'DGNB LCA Results'!$N$3+
                                                                VLOOKUP(CONCATENATE('DGNB LCA Results'!$K$3,"_",E571), $A$2:$F$550,3,FALSE)*'DGNB LCA Results'!$L$3+
                                                                VLOOKUP(CONCATENATE('DGNB LCA Results'!$I$3,"_",E571),$A$2:$F$550,3,FALSE)*'DGNB LCA Results'!$J$3,
IF('DGNB LCA Results'!$P$4=2,VLOOKUP(CONCATENATE('DGNB LCA Results'!$M$3,"_",E571), $A$2:$F$550,3,FALSE)*'DGNB LCA Results'!$N$3+
                                                                 VLOOKUP(CONCATENATE('DGNB LCA Results'!$K$3,"_",E571),$A$2:$F$550,3,FALSE)*'DGNB LCA Results'!$L$3,
IF('DGNB LCA Results'!$P$4=1,VLOOKUP(CONCATENATE('DGNB LCA Results'!$M$3,"_",E571), $A$2:$F$550,3,FALSE)*'DGNB LCA Results'!$N$3,0))))</f>
        <v>0</v>
      </c>
      <c r="D571">
        <f>IF('DGNB LCA Results'!$P$4=4,VLOOKUP(CONCATENATE('DGNB LCA Results'!$M$3,"_",E571), $A$2:$F$550,4,FALSE)*'DGNB LCA Results'!$N$3+
                                                                  VLOOKUP(CONCATENATE('DGNB LCA Results'!$K$3,"_",E571), $A$2:$F$550,4,FALSE)*'DGNB LCA Results'!$L$3+
                                                                  VLOOKUP(CONCATENATE('DGNB LCA Results'!$I$3,"_",E571),$A$2:$F$550,4,FALSE)*'DGNB LCA Results'!$J$3+
                                                                  VLOOKUP(CONCATENATE('DGNB LCA Results'!$G$3,"_",E571), $A$2:$F$550,4,FALSE)*'DGNB LCA Results'!$H$3,
IF('DGNB LCA Results'!$P$4=3,VLOOKUP(CONCATENATE('DGNB LCA Results'!$M$3,"_",E571), $A$2:$F$550,4,FALSE)*'DGNB LCA Results'!$N$3+
                                                                VLOOKUP(CONCATENATE('DGNB LCA Results'!$K$3,"_",E571), $A$2:$F$550,4,FALSE)*'DGNB LCA Results'!$L$3+
                                                                VLOOKUP(CONCATENATE('DGNB LCA Results'!$I$3,"_",E571),$A$2:$F$550,4,FALSE)*'DGNB LCA Results'!$J$3,
IF('DGNB LCA Results'!$P$4=2,VLOOKUP(CONCATENATE('DGNB LCA Results'!$M$3,"_",E571), $A$2:$F$550,4,FALSE)*'DGNB LCA Results'!$N$3+
                                                                 VLOOKUP(CONCATENATE('DGNB LCA Results'!$K$3,"_",E571),$A$2:$F$550,4,FALSE)*'DGNB LCA Results'!$L$3,
IF('DGNB LCA Results'!$P$4=1,VLOOKUP(CONCATENATE('DGNB LCA Results'!$M$3,"_",E571), $A$2:$F$550,4,FALSE)*'DGNB LCA Results'!$N$3,0))))</f>
        <v>0</v>
      </c>
      <c r="E571">
        <v>50</v>
      </c>
      <c r="F571" t="s">
        <v>193</v>
      </c>
    </row>
    <row r="572" spans="1:6" x14ac:dyDescent="0.2">
      <c r="A572" t="str">
        <f t="shared" si="8"/>
        <v>MIX12_55</v>
      </c>
      <c r="B572">
        <f>IF('DGNB LCA Results'!$P$4=4,VLOOKUP(CONCATENATE('DGNB LCA Results'!$M$3,"_",E572), $A$2:$F$550,2,FALSE)*'DGNB LCA Results'!$N$3+
                                                                  VLOOKUP(CONCATENATE('DGNB LCA Results'!$K$3,"_",E572), $A$2:$F$550,2,FALSE)*'DGNB LCA Results'!$L$3+
                                                                  VLOOKUP(CONCATENATE('DGNB LCA Results'!$I$3,"_",E572),$A$2:$F$550,2,FALSE)*'DGNB LCA Results'!$J$3+
                                                                  VLOOKUP(CONCATENATE('DGNB LCA Results'!$G$3,"_",E572), $A$2:$F$550,2,FALSE)*'DGNB LCA Results'!$H$3,
IF('DGNB LCA Results'!$P$4=3,VLOOKUP(CONCATENATE('DGNB LCA Results'!$M$3,"_",E572), $A$2:$F$550,2,FALSE)*'DGNB LCA Results'!$N$3+
                                                                VLOOKUP(CONCATENATE('DGNB LCA Results'!$K$3,"_",E572), $A$2:$F$550,2,FALSE)*'DGNB LCA Results'!$L$3+
                                                                VLOOKUP(CONCATENATE('DGNB LCA Results'!$I$3,"_",E572),$A$2:$F$550,2,FALSE)*'DGNB LCA Results'!$J$3,
IF('DGNB LCA Results'!$P$4=2,VLOOKUP(CONCATENATE('DGNB LCA Results'!$M$3,"_",E572), $A$2:$F$550,2,FALSE)*'DGNB LCA Results'!$N$3+
                                                                 VLOOKUP(CONCATENATE('DGNB LCA Results'!$K$3,"_",E572),$A$2:$F$550,2,FALSE)*'DGNB LCA Results'!$L$3,
IF('DGNB LCA Results'!$P$4=1,VLOOKUP(CONCATENATE('DGNB LCA Results'!$M$3,"_",E572), $A$2:$F$550,2,FALSE)*'DGNB LCA Results'!$N$3,0))))</f>
        <v>0</v>
      </c>
      <c r="C572">
        <f>IF('DGNB LCA Results'!$P$4=4,VLOOKUP(CONCATENATE('DGNB LCA Results'!$M$3,"_",E572), $A$2:$F$550,3,FALSE)*'DGNB LCA Results'!$N$3+
                                                                  VLOOKUP(CONCATENATE('DGNB LCA Results'!$K$3,"_",E572), $A$2:$F$550,3,FALSE)*'DGNB LCA Results'!$L$3+
                                                                  VLOOKUP(CONCATENATE('DGNB LCA Results'!$I$3,"_",E572),$A$2:$F$550,3,FALSE)*'DGNB LCA Results'!$J$3+
                                                                  VLOOKUP(CONCATENATE('DGNB LCA Results'!$G$3,"_",E572), $A$2:$F$550,3,FALSE)*'DGNB LCA Results'!$H$3,
IF('DGNB LCA Results'!$P$4=3,VLOOKUP(CONCATENATE('DGNB LCA Results'!$M$3,"_",E572), $A$2:$F$550,3,FALSE)*'DGNB LCA Results'!$N$3+
                                                                VLOOKUP(CONCATENATE('DGNB LCA Results'!$K$3,"_",E572), $A$2:$F$550,3,FALSE)*'DGNB LCA Results'!$L$3+
                                                                VLOOKUP(CONCATENATE('DGNB LCA Results'!$I$3,"_",E572),$A$2:$F$550,3,FALSE)*'DGNB LCA Results'!$J$3,
IF('DGNB LCA Results'!$P$4=2,VLOOKUP(CONCATENATE('DGNB LCA Results'!$M$3,"_",E572), $A$2:$F$550,3,FALSE)*'DGNB LCA Results'!$N$3+
                                                                 VLOOKUP(CONCATENATE('DGNB LCA Results'!$K$3,"_",E572),$A$2:$F$550,3,FALSE)*'DGNB LCA Results'!$L$3,
IF('DGNB LCA Results'!$P$4=1,VLOOKUP(CONCATENATE('DGNB LCA Results'!$M$3,"_",E572), $A$2:$F$550,3,FALSE)*'DGNB LCA Results'!$N$3,0))))</f>
        <v>0</v>
      </c>
      <c r="D572">
        <f>IF('DGNB LCA Results'!$P$4=4,VLOOKUP(CONCATENATE('DGNB LCA Results'!$M$3,"_",E572), $A$2:$F$550,4,FALSE)*'DGNB LCA Results'!$N$3+
                                                                  VLOOKUP(CONCATENATE('DGNB LCA Results'!$K$3,"_",E572), $A$2:$F$550,4,FALSE)*'DGNB LCA Results'!$L$3+
                                                                  VLOOKUP(CONCATENATE('DGNB LCA Results'!$I$3,"_",E572),$A$2:$F$550,4,FALSE)*'DGNB LCA Results'!$J$3+
                                                                  VLOOKUP(CONCATENATE('DGNB LCA Results'!$G$3,"_",E572), $A$2:$F$550,4,FALSE)*'DGNB LCA Results'!$H$3,
IF('DGNB LCA Results'!$P$4=3,VLOOKUP(CONCATENATE('DGNB LCA Results'!$M$3,"_",E572), $A$2:$F$550,4,FALSE)*'DGNB LCA Results'!$N$3+
                                                                VLOOKUP(CONCATENATE('DGNB LCA Results'!$K$3,"_",E572), $A$2:$F$550,4,FALSE)*'DGNB LCA Results'!$L$3+
                                                                VLOOKUP(CONCATENATE('DGNB LCA Results'!$I$3,"_",E572),$A$2:$F$550,4,FALSE)*'DGNB LCA Results'!$J$3,
IF('DGNB LCA Results'!$P$4=2,VLOOKUP(CONCATENATE('DGNB LCA Results'!$M$3,"_",E572), $A$2:$F$550,4,FALSE)*'DGNB LCA Results'!$N$3+
                                                                 VLOOKUP(CONCATENATE('DGNB LCA Results'!$K$3,"_",E572),$A$2:$F$550,4,FALSE)*'DGNB LCA Results'!$L$3,
IF('DGNB LCA Results'!$P$4=1,VLOOKUP(CONCATENATE('DGNB LCA Results'!$M$3,"_",E572), $A$2:$F$550,4,FALSE)*'DGNB LCA Results'!$N$3,0))))</f>
        <v>0</v>
      </c>
      <c r="E572">
        <v>55</v>
      </c>
      <c r="F572" t="s">
        <v>193</v>
      </c>
    </row>
    <row r="573" spans="1:6" x14ac:dyDescent="0.2">
      <c r="A573" t="str">
        <f t="shared" si="8"/>
        <v>MIX12_60</v>
      </c>
      <c r="B573">
        <f>IF('DGNB LCA Results'!$P$4=4,VLOOKUP(CONCATENATE('DGNB LCA Results'!$M$3,"_",E573), $A$2:$F$550,2,FALSE)*'DGNB LCA Results'!$N$3+
                                                                  VLOOKUP(CONCATENATE('DGNB LCA Results'!$K$3,"_",E573), $A$2:$F$550,2,FALSE)*'DGNB LCA Results'!$L$3+
                                                                  VLOOKUP(CONCATENATE('DGNB LCA Results'!$I$3,"_",E573),$A$2:$F$550,2,FALSE)*'DGNB LCA Results'!$J$3+
                                                                  VLOOKUP(CONCATENATE('DGNB LCA Results'!$G$3,"_",E573), $A$2:$F$550,2,FALSE)*'DGNB LCA Results'!$H$3,
IF('DGNB LCA Results'!$P$4=3,VLOOKUP(CONCATENATE('DGNB LCA Results'!$M$3,"_",E573), $A$2:$F$550,2,FALSE)*'DGNB LCA Results'!$N$3+
                                                                VLOOKUP(CONCATENATE('DGNB LCA Results'!$K$3,"_",E573), $A$2:$F$550,2,FALSE)*'DGNB LCA Results'!$L$3+
                                                                VLOOKUP(CONCATENATE('DGNB LCA Results'!$I$3,"_",E573),$A$2:$F$550,2,FALSE)*'DGNB LCA Results'!$J$3,
IF('DGNB LCA Results'!$P$4=2,VLOOKUP(CONCATENATE('DGNB LCA Results'!$M$3,"_",E573), $A$2:$F$550,2,FALSE)*'DGNB LCA Results'!$N$3+
                                                                 VLOOKUP(CONCATENATE('DGNB LCA Results'!$K$3,"_",E573),$A$2:$F$550,2,FALSE)*'DGNB LCA Results'!$L$3,
IF('DGNB LCA Results'!$P$4=1,VLOOKUP(CONCATENATE('DGNB LCA Results'!$M$3,"_",E573), $A$2:$F$550,2,FALSE)*'DGNB LCA Results'!$N$3,0))))</f>
        <v>0</v>
      </c>
      <c r="C573">
        <f>IF('DGNB LCA Results'!$P$4=4,VLOOKUP(CONCATENATE('DGNB LCA Results'!$M$3,"_",E573), $A$2:$F$550,3,FALSE)*'DGNB LCA Results'!$N$3+
                                                                  VLOOKUP(CONCATENATE('DGNB LCA Results'!$K$3,"_",E573), $A$2:$F$550,3,FALSE)*'DGNB LCA Results'!$L$3+
                                                                  VLOOKUP(CONCATENATE('DGNB LCA Results'!$I$3,"_",E573),$A$2:$F$550,3,FALSE)*'DGNB LCA Results'!$J$3+
                                                                  VLOOKUP(CONCATENATE('DGNB LCA Results'!$G$3,"_",E573), $A$2:$F$550,3,FALSE)*'DGNB LCA Results'!$H$3,
IF('DGNB LCA Results'!$P$4=3,VLOOKUP(CONCATENATE('DGNB LCA Results'!$M$3,"_",E573), $A$2:$F$550,3,FALSE)*'DGNB LCA Results'!$N$3+
                                                                VLOOKUP(CONCATENATE('DGNB LCA Results'!$K$3,"_",E573), $A$2:$F$550,3,FALSE)*'DGNB LCA Results'!$L$3+
                                                                VLOOKUP(CONCATENATE('DGNB LCA Results'!$I$3,"_",E573),$A$2:$F$550,3,FALSE)*'DGNB LCA Results'!$J$3,
IF('DGNB LCA Results'!$P$4=2,VLOOKUP(CONCATENATE('DGNB LCA Results'!$M$3,"_",E573), $A$2:$F$550,3,FALSE)*'DGNB LCA Results'!$N$3+
                                                                 VLOOKUP(CONCATENATE('DGNB LCA Results'!$K$3,"_",E573),$A$2:$F$550,3,FALSE)*'DGNB LCA Results'!$L$3,
IF('DGNB LCA Results'!$P$4=1,VLOOKUP(CONCATENATE('DGNB LCA Results'!$M$3,"_",E573), $A$2:$F$550,3,FALSE)*'DGNB LCA Results'!$N$3,0))))</f>
        <v>0</v>
      </c>
      <c r="D573">
        <f>IF('DGNB LCA Results'!$P$4=4,VLOOKUP(CONCATENATE('DGNB LCA Results'!$M$3,"_",E573), $A$2:$F$550,4,FALSE)*'DGNB LCA Results'!$N$3+
                                                                  VLOOKUP(CONCATENATE('DGNB LCA Results'!$K$3,"_",E573), $A$2:$F$550,4,FALSE)*'DGNB LCA Results'!$L$3+
                                                                  VLOOKUP(CONCATENATE('DGNB LCA Results'!$I$3,"_",E573),$A$2:$F$550,4,FALSE)*'DGNB LCA Results'!$J$3+
                                                                  VLOOKUP(CONCATENATE('DGNB LCA Results'!$G$3,"_",E573), $A$2:$F$550,4,FALSE)*'DGNB LCA Results'!$H$3,
IF('DGNB LCA Results'!$P$4=3,VLOOKUP(CONCATENATE('DGNB LCA Results'!$M$3,"_",E573), $A$2:$F$550,4,FALSE)*'DGNB LCA Results'!$N$3+
                                                                VLOOKUP(CONCATENATE('DGNB LCA Results'!$K$3,"_",E573), $A$2:$F$550,4,FALSE)*'DGNB LCA Results'!$L$3+
                                                                VLOOKUP(CONCATENATE('DGNB LCA Results'!$I$3,"_",E573),$A$2:$F$550,4,FALSE)*'DGNB LCA Results'!$J$3,
IF('DGNB LCA Results'!$P$4=2,VLOOKUP(CONCATENATE('DGNB LCA Results'!$M$3,"_",E573), $A$2:$F$550,4,FALSE)*'DGNB LCA Results'!$N$3+
                                                                 VLOOKUP(CONCATENATE('DGNB LCA Results'!$K$3,"_",E573),$A$2:$F$550,4,FALSE)*'DGNB LCA Results'!$L$3,
IF('DGNB LCA Results'!$P$4=1,VLOOKUP(CONCATENATE('DGNB LCA Results'!$M$3,"_",E573), $A$2:$F$550,4,FALSE)*'DGNB LCA Results'!$N$3,0))))</f>
        <v>0</v>
      </c>
      <c r="E573">
        <v>60</v>
      </c>
      <c r="F573" t="s">
        <v>193</v>
      </c>
    </row>
    <row r="574" spans="1:6" x14ac:dyDescent="0.2">
      <c r="A574" t="str">
        <f t="shared" si="8"/>
        <v>MIX12_65</v>
      </c>
      <c r="B574">
        <f>IF('DGNB LCA Results'!$P$4=4,VLOOKUP(CONCATENATE('DGNB LCA Results'!$M$3,"_",E574), $A$2:$F$550,2,FALSE)*'DGNB LCA Results'!$N$3+
                                                                  VLOOKUP(CONCATENATE('DGNB LCA Results'!$K$3,"_",E574), $A$2:$F$550,2,FALSE)*'DGNB LCA Results'!$L$3+
                                                                  VLOOKUP(CONCATENATE('DGNB LCA Results'!$I$3,"_",E574),$A$2:$F$550,2,FALSE)*'DGNB LCA Results'!$J$3+
                                                                  VLOOKUP(CONCATENATE('DGNB LCA Results'!$G$3,"_",E574), $A$2:$F$550,2,FALSE)*'DGNB LCA Results'!$H$3,
IF('DGNB LCA Results'!$P$4=3,VLOOKUP(CONCATENATE('DGNB LCA Results'!$M$3,"_",E574), $A$2:$F$550,2,FALSE)*'DGNB LCA Results'!$N$3+
                                                                VLOOKUP(CONCATENATE('DGNB LCA Results'!$K$3,"_",E574), $A$2:$F$550,2,FALSE)*'DGNB LCA Results'!$L$3+
                                                                VLOOKUP(CONCATENATE('DGNB LCA Results'!$I$3,"_",E574),$A$2:$F$550,2,FALSE)*'DGNB LCA Results'!$J$3,
IF('DGNB LCA Results'!$P$4=2,VLOOKUP(CONCATENATE('DGNB LCA Results'!$M$3,"_",E574), $A$2:$F$550,2,FALSE)*'DGNB LCA Results'!$N$3+
                                                                 VLOOKUP(CONCATENATE('DGNB LCA Results'!$K$3,"_",E574),$A$2:$F$550,2,FALSE)*'DGNB LCA Results'!$L$3,
IF('DGNB LCA Results'!$P$4=1,VLOOKUP(CONCATENATE('DGNB LCA Results'!$M$3,"_",E574), $A$2:$F$550,2,FALSE)*'DGNB LCA Results'!$N$3,0))))</f>
        <v>0</v>
      </c>
      <c r="C574">
        <f>IF('DGNB LCA Results'!$P$4=4,VLOOKUP(CONCATENATE('DGNB LCA Results'!$M$3,"_",E574), $A$2:$F$550,3,FALSE)*'DGNB LCA Results'!$N$3+
                                                                  VLOOKUP(CONCATENATE('DGNB LCA Results'!$K$3,"_",E574), $A$2:$F$550,3,FALSE)*'DGNB LCA Results'!$L$3+
                                                                  VLOOKUP(CONCATENATE('DGNB LCA Results'!$I$3,"_",E574),$A$2:$F$550,3,FALSE)*'DGNB LCA Results'!$J$3+
                                                                  VLOOKUP(CONCATENATE('DGNB LCA Results'!$G$3,"_",E574), $A$2:$F$550,3,FALSE)*'DGNB LCA Results'!$H$3,
IF('DGNB LCA Results'!$P$4=3,VLOOKUP(CONCATENATE('DGNB LCA Results'!$M$3,"_",E574), $A$2:$F$550,3,FALSE)*'DGNB LCA Results'!$N$3+
                                                                VLOOKUP(CONCATENATE('DGNB LCA Results'!$K$3,"_",E574), $A$2:$F$550,3,FALSE)*'DGNB LCA Results'!$L$3+
                                                                VLOOKUP(CONCATENATE('DGNB LCA Results'!$I$3,"_",E574),$A$2:$F$550,3,FALSE)*'DGNB LCA Results'!$J$3,
IF('DGNB LCA Results'!$P$4=2,VLOOKUP(CONCATENATE('DGNB LCA Results'!$M$3,"_",E574), $A$2:$F$550,3,FALSE)*'DGNB LCA Results'!$N$3+
                                                                 VLOOKUP(CONCATENATE('DGNB LCA Results'!$K$3,"_",E574),$A$2:$F$550,3,FALSE)*'DGNB LCA Results'!$L$3,
IF('DGNB LCA Results'!$P$4=1,VLOOKUP(CONCATENATE('DGNB LCA Results'!$M$3,"_",E574), $A$2:$F$550,3,FALSE)*'DGNB LCA Results'!$N$3,0))))</f>
        <v>0</v>
      </c>
      <c r="D574">
        <f>IF('DGNB LCA Results'!$P$4=4,VLOOKUP(CONCATENATE('DGNB LCA Results'!$M$3,"_",E574), $A$2:$F$550,4,FALSE)*'DGNB LCA Results'!$N$3+
                                                                  VLOOKUP(CONCATENATE('DGNB LCA Results'!$K$3,"_",E574), $A$2:$F$550,4,FALSE)*'DGNB LCA Results'!$L$3+
                                                                  VLOOKUP(CONCATENATE('DGNB LCA Results'!$I$3,"_",E574),$A$2:$F$550,4,FALSE)*'DGNB LCA Results'!$J$3+
                                                                  VLOOKUP(CONCATENATE('DGNB LCA Results'!$G$3,"_",E574), $A$2:$F$550,4,FALSE)*'DGNB LCA Results'!$H$3,
IF('DGNB LCA Results'!$P$4=3,VLOOKUP(CONCATENATE('DGNB LCA Results'!$M$3,"_",E574), $A$2:$F$550,4,FALSE)*'DGNB LCA Results'!$N$3+
                                                                VLOOKUP(CONCATENATE('DGNB LCA Results'!$K$3,"_",E574), $A$2:$F$550,4,FALSE)*'DGNB LCA Results'!$L$3+
                                                                VLOOKUP(CONCATENATE('DGNB LCA Results'!$I$3,"_",E574),$A$2:$F$550,4,FALSE)*'DGNB LCA Results'!$J$3,
IF('DGNB LCA Results'!$P$4=2,VLOOKUP(CONCATENATE('DGNB LCA Results'!$M$3,"_",E574), $A$2:$F$550,4,FALSE)*'DGNB LCA Results'!$N$3+
                                                                 VLOOKUP(CONCATENATE('DGNB LCA Results'!$K$3,"_",E574),$A$2:$F$550,4,FALSE)*'DGNB LCA Results'!$L$3,
IF('DGNB LCA Results'!$P$4=1,VLOOKUP(CONCATENATE('DGNB LCA Results'!$M$3,"_",E574), $A$2:$F$550,4,FALSE)*'DGNB LCA Results'!$N$3,0))))</f>
        <v>0</v>
      </c>
      <c r="E574">
        <v>65</v>
      </c>
      <c r="F574" t="s">
        <v>193</v>
      </c>
    </row>
    <row r="575" spans="1:6" x14ac:dyDescent="0.2">
      <c r="A575" t="str">
        <f t="shared" si="8"/>
        <v>MIX12_70</v>
      </c>
      <c r="B575">
        <f>IF('DGNB LCA Results'!$P$4=4,VLOOKUP(CONCATENATE('DGNB LCA Results'!$M$3,"_",E575), $A$2:$F$550,2,FALSE)*'DGNB LCA Results'!$N$3+
                                                                  VLOOKUP(CONCATENATE('DGNB LCA Results'!$K$3,"_",E575), $A$2:$F$550,2,FALSE)*'DGNB LCA Results'!$L$3+
                                                                  VLOOKUP(CONCATENATE('DGNB LCA Results'!$I$3,"_",E575),$A$2:$F$550,2,FALSE)*'DGNB LCA Results'!$J$3+
                                                                  VLOOKUP(CONCATENATE('DGNB LCA Results'!$G$3,"_",E575), $A$2:$F$550,2,FALSE)*'DGNB LCA Results'!$H$3,
IF('DGNB LCA Results'!$P$4=3,VLOOKUP(CONCATENATE('DGNB LCA Results'!$M$3,"_",E575), $A$2:$F$550,2,FALSE)*'DGNB LCA Results'!$N$3+
                                                                VLOOKUP(CONCATENATE('DGNB LCA Results'!$K$3,"_",E575), $A$2:$F$550,2,FALSE)*'DGNB LCA Results'!$L$3+
                                                                VLOOKUP(CONCATENATE('DGNB LCA Results'!$I$3,"_",E575),$A$2:$F$550,2,FALSE)*'DGNB LCA Results'!$J$3,
IF('DGNB LCA Results'!$P$4=2,VLOOKUP(CONCATENATE('DGNB LCA Results'!$M$3,"_",E575), $A$2:$F$550,2,FALSE)*'DGNB LCA Results'!$N$3+
                                                                 VLOOKUP(CONCATENATE('DGNB LCA Results'!$K$3,"_",E575),$A$2:$F$550,2,FALSE)*'DGNB LCA Results'!$L$3,
IF('DGNB LCA Results'!$P$4=1,VLOOKUP(CONCATENATE('DGNB LCA Results'!$M$3,"_",E575), $A$2:$F$550,2,FALSE)*'DGNB LCA Results'!$N$3,0))))</f>
        <v>0</v>
      </c>
      <c r="C575">
        <f>IF('DGNB LCA Results'!$P$4=4,VLOOKUP(CONCATENATE('DGNB LCA Results'!$M$3,"_",E575), $A$2:$F$550,3,FALSE)*'DGNB LCA Results'!$N$3+
                                                                  VLOOKUP(CONCATENATE('DGNB LCA Results'!$K$3,"_",E575), $A$2:$F$550,3,FALSE)*'DGNB LCA Results'!$L$3+
                                                                  VLOOKUP(CONCATENATE('DGNB LCA Results'!$I$3,"_",E575),$A$2:$F$550,3,FALSE)*'DGNB LCA Results'!$J$3+
                                                                  VLOOKUP(CONCATENATE('DGNB LCA Results'!$G$3,"_",E575), $A$2:$F$550,3,FALSE)*'DGNB LCA Results'!$H$3,
IF('DGNB LCA Results'!$P$4=3,VLOOKUP(CONCATENATE('DGNB LCA Results'!$M$3,"_",E575), $A$2:$F$550,3,FALSE)*'DGNB LCA Results'!$N$3+
                                                                VLOOKUP(CONCATENATE('DGNB LCA Results'!$K$3,"_",E575), $A$2:$F$550,3,FALSE)*'DGNB LCA Results'!$L$3+
                                                                VLOOKUP(CONCATENATE('DGNB LCA Results'!$I$3,"_",E575),$A$2:$F$550,3,FALSE)*'DGNB LCA Results'!$J$3,
IF('DGNB LCA Results'!$P$4=2,VLOOKUP(CONCATENATE('DGNB LCA Results'!$M$3,"_",E575), $A$2:$F$550,3,FALSE)*'DGNB LCA Results'!$N$3+
                                                                 VLOOKUP(CONCATENATE('DGNB LCA Results'!$K$3,"_",E575),$A$2:$F$550,3,FALSE)*'DGNB LCA Results'!$L$3,
IF('DGNB LCA Results'!$P$4=1,VLOOKUP(CONCATENATE('DGNB LCA Results'!$M$3,"_",E575), $A$2:$F$550,3,FALSE)*'DGNB LCA Results'!$N$3,0))))</f>
        <v>0</v>
      </c>
      <c r="D575">
        <f>IF('DGNB LCA Results'!$P$4=4,VLOOKUP(CONCATENATE('DGNB LCA Results'!$M$3,"_",E575), $A$2:$F$550,4,FALSE)*'DGNB LCA Results'!$N$3+
                                                                  VLOOKUP(CONCATENATE('DGNB LCA Results'!$K$3,"_",E575), $A$2:$F$550,4,FALSE)*'DGNB LCA Results'!$L$3+
                                                                  VLOOKUP(CONCATENATE('DGNB LCA Results'!$I$3,"_",E575),$A$2:$F$550,4,FALSE)*'DGNB LCA Results'!$J$3+
                                                                  VLOOKUP(CONCATENATE('DGNB LCA Results'!$G$3,"_",E575), $A$2:$F$550,4,FALSE)*'DGNB LCA Results'!$H$3,
IF('DGNB LCA Results'!$P$4=3,VLOOKUP(CONCATENATE('DGNB LCA Results'!$M$3,"_",E575), $A$2:$F$550,4,FALSE)*'DGNB LCA Results'!$N$3+
                                                                VLOOKUP(CONCATENATE('DGNB LCA Results'!$K$3,"_",E575), $A$2:$F$550,4,FALSE)*'DGNB LCA Results'!$L$3+
                                                                VLOOKUP(CONCATENATE('DGNB LCA Results'!$I$3,"_",E575),$A$2:$F$550,4,FALSE)*'DGNB LCA Results'!$J$3,
IF('DGNB LCA Results'!$P$4=2,VLOOKUP(CONCATENATE('DGNB LCA Results'!$M$3,"_",E575), $A$2:$F$550,4,FALSE)*'DGNB LCA Results'!$N$3+
                                                                 VLOOKUP(CONCATENATE('DGNB LCA Results'!$K$3,"_",E575),$A$2:$F$550,4,FALSE)*'DGNB LCA Results'!$L$3,
IF('DGNB LCA Results'!$P$4=1,VLOOKUP(CONCATENATE('DGNB LCA Results'!$M$3,"_",E575), $A$2:$F$550,4,FALSE)*'DGNB LCA Results'!$N$3,0))))</f>
        <v>0</v>
      </c>
      <c r="E575">
        <v>70</v>
      </c>
      <c r="F575" t="s">
        <v>193</v>
      </c>
    </row>
    <row r="576" spans="1:6" x14ac:dyDescent="0.2">
      <c r="A576" t="str">
        <f t="shared" si="8"/>
        <v>MIX12_75</v>
      </c>
      <c r="B576">
        <f>IF('DGNB LCA Results'!$P$4=4,VLOOKUP(CONCATENATE('DGNB LCA Results'!$M$3,"_",E576), $A$2:$F$550,2,FALSE)*'DGNB LCA Results'!$N$3+
                                                                  VLOOKUP(CONCATENATE('DGNB LCA Results'!$K$3,"_",E576), $A$2:$F$550,2,FALSE)*'DGNB LCA Results'!$L$3+
                                                                  VLOOKUP(CONCATENATE('DGNB LCA Results'!$I$3,"_",E576),$A$2:$F$550,2,FALSE)*'DGNB LCA Results'!$J$3+
                                                                  VLOOKUP(CONCATENATE('DGNB LCA Results'!$G$3,"_",E576), $A$2:$F$550,2,FALSE)*'DGNB LCA Results'!$H$3,
IF('DGNB LCA Results'!$P$4=3,VLOOKUP(CONCATENATE('DGNB LCA Results'!$M$3,"_",E576), $A$2:$F$550,2,FALSE)*'DGNB LCA Results'!$N$3+
                                                                VLOOKUP(CONCATENATE('DGNB LCA Results'!$K$3,"_",E576), $A$2:$F$550,2,FALSE)*'DGNB LCA Results'!$L$3+
                                                                VLOOKUP(CONCATENATE('DGNB LCA Results'!$I$3,"_",E576),$A$2:$F$550,2,FALSE)*'DGNB LCA Results'!$J$3,
IF('DGNB LCA Results'!$P$4=2,VLOOKUP(CONCATENATE('DGNB LCA Results'!$M$3,"_",E576), $A$2:$F$550,2,FALSE)*'DGNB LCA Results'!$N$3+
                                                                 VLOOKUP(CONCATENATE('DGNB LCA Results'!$K$3,"_",E576),$A$2:$F$550,2,FALSE)*'DGNB LCA Results'!$L$3,
IF('DGNB LCA Results'!$P$4=1,VLOOKUP(CONCATENATE('DGNB LCA Results'!$M$3,"_",E576), $A$2:$F$550,2,FALSE)*'DGNB LCA Results'!$N$3,0))))</f>
        <v>0</v>
      </c>
      <c r="C576">
        <f>IF('DGNB LCA Results'!$P$4=4,VLOOKUP(CONCATENATE('DGNB LCA Results'!$M$3,"_",E576), $A$2:$F$550,3,FALSE)*'DGNB LCA Results'!$N$3+
                                                                  VLOOKUP(CONCATENATE('DGNB LCA Results'!$K$3,"_",E576), $A$2:$F$550,3,FALSE)*'DGNB LCA Results'!$L$3+
                                                                  VLOOKUP(CONCATENATE('DGNB LCA Results'!$I$3,"_",E576),$A$2:$F$550,3,FALSE)*'DGNB LCA Results'!$J$3+
                                                                  VLOOKUP(CONCATENATE('DGNB LCA Results'!$G$3,"_",E576), $A$2:$F$550,3,FALSE)*'DGNB LCA Results'!$H$3,
IF('DGNB LCA Results'!$P$4=3,VLOOKUP(CONCATENATE('DGNB LCA Results'!$M$3,"_",E576), $A$2:$F$550,3,FALSE)*'DGNB LCA Results'!$N$3+
                                                                VLOOKUP(CONCATENATE('DGNB LCA Results'!$K$3,"_",E576), $A$2:$F$550,3,FALSE)*'DGNB LCA Results'!$L$3+
                                                                VLOOKUP(CONCATENATE('DGNB LCA Results'!$I$3,"_",E576),$A$2:$F$550,3,FALSE)*'DGNB LCA Results'!$J$3,
IF('DGNB LCA Results'!$P$4=2,VLOOKUP(CONCATENATE('DGNB LCA Results'!$M$3,"_",E576), $A$2:$F$550,3,FALSE)*'DGNB LCA Results'!$N$3+
                                                                 VLOOKUP(CONCATENATE('DGNB LCA Results'!$K$3,"_",E576),$A$2:$F$550,3,FALSE)*'DGNB LCA Results'!$L$3,
IF('DGNB LCA Results'!$P$4=1,VLOOKUP(CONCATENATE('DGNB LCA Results'!$M$3,"_",E576), $A$2:$F$550,3,FALSE)*'DGNB LCA Results'!$N$3,0))))</f>
        <v>0</v>
      </c>
      <c r="D576">
        <f>IF('DGNB LCA Results'!$P$4=4,VLOOKUP(CONCATENATE('DGNB LCA Results'!$M$3,"_",E576), $A$2:$F$550,4,FALSE)*'DGNB LCA Results'!$N$3+
                                                                  VLOOKUP(CONCATENATE('DGNB LCA Results'!$K$3,"_",E576), $A$2:$F$550,4,FALSE)*'DGNB LCA Results'!$L$3+
                                                                  VLOOKUP(CONCATENATE('DGNB LCA Results'!$I$3,"_",E576),$A$2:$F$550,4,FALSE)*'DGNB LCA Results'!$J$3+
                                                                  VLOOKUP(CONCATENATE('DGNB LCA Results'!$G$3,"_",E576), $A$2:$F$550,4,FALSE)*'DGNB LCA Results'!$H$3,
IF('DGNB LCA Results'!$P$4=3,VLOOKUP(CONCATENATE('DGNB LCA Results'!$M$3,"_",E576), $A$2:$F$550,4,FALSE)*'DGNB LCA Results'!$N$3+
                                                                VLOOKUP(CONCATENATE('DGNB LCA Results'!$K$3,"_",E576), $A$2:$F$550,4,FALSE)*'DGNB LCA Results'!$L$3+
                                                                VLOOKUP(CONCATENATE('DGNB LCA Results'!$I$3,"_",E576),$A$2:$F$550,4,FALSE)*'DGNB LCA Results'!$J$3,
IF('DGNB LCA Results'!$P$4=2,VLOOKUP(CONCATENATE('DGNB LCA Results'!$M$3,"_",E576), $A$2:$F$550,4,FALSE)*'DGNB LCA Results'!$N$3+
                                                                 VLOOKUP(CONCATENATE('DGNB LCA Results'!$K$3,"_",E576),$A$2:$F$550,4,FALSE)*'DGNB LCA Results'!$L$3,
IF('DGNB LCA Results'!$P$4=1,VLOOKUP(CONCATENATE('DGNB LCA Results'!$M$3,"_",E576), $A$2:$F$550,4,FALSE)*'DGNB LCA Results'!$N$3,0))))</f>
        <v>0</v>
      </c>
      <c r="E576">
        <v>75</v>
      </c>
      <c r="F576" t="s">
        <v>193</v>
      </c>
    </row>
    <row r="577" spans="1:6" x14ac:dyDescent="0.2">
      <c r="A577" t="str">
        <f t="shared" si="8"/>
        <v>MIX12_80</v>
      </c>
      <c r="B577">
        <f>IF('DGNB LCA Results'!$P$4=4,VLOOKUP(CONCATENATE('DGNB LCA Results'!$M$3,"_",E577), $A$2:$F$550,2,FALSE)*'DGNB LCA Results'!$N$3+
                                                                  VLOOKUP(CONCATENATE('DGNB LCA Results'!$K$3,"_",E577), $A$2:$F$550,2,FALSE)*'DGNB LCA Results'!$L$3+
                                                                  VLOOKUP(CONCATENATE('DGNB LCA Results'!$I$3,"_",E577),$A$2:$F$550,2,FALSE)*'DGNB LCA Results'!$J$3+
                                                                  VLOOKUP(CONCATENATE('DGNB LCA Results'!$G$3,"_",E577), $A$2:$F$550,2,FALSE)*'DGNB LCA Results'!$H$3,
IF('DGNB LCA Results'!$P$4=3,VLOOKUP(CONCATENATE('DGNB LCA Results'!$M$3,"_",E577), $A$2:$F$550,2,FALSE)*'DGNB LCA Results'!$N$3+
                                                                VLOOKUP(CONCATENATE('DGNB LCA Results'!$K$3,"_",E577), $A$2:$F$550,2,FALSE)*'DGNB LCA Results'!$L$3+
                                                                VLOOKUP(CONCATENATE('DGNB LCA Results'!$I$3,"_",E577),$A$2:$F$550,2,FALSE)*'DGNB LCA Results'!$J$3,
IF('DGNB LCA Results'!$P$4=2,VLOOKUP(CONCATENATE('DGNB LCA Results'!$M$3,"_",E577), $A$2:$F$550,2,FALSE)*'DGNB LCA Results'!$N$3+
                                                                 VLOOKUP(CONCATENATE('DGNB LCA Results'!$K$3,"_",E577),$A$2:$F$550,2,FALSE)*'DGNB LCA Results'!$L$3,
IF('DGNB LCA Results'!$P$4=1,VLOOKUP(CONCATENATE('DGNB LCA Results'!$M$3,"_",E577), $A$2:$F$550,2,FALSE)*'DGNB LCA Results'!$N$3,0))))</f>
        <v>0</v>
      </c>
      <c r="C577">
        <f>IF('DGNB LCA Results'!$P$4=4,VLOOKUP(CONCATENATE('DGNB LCA Results'!$M$3,"_",E577), $A$2:$F$550,3,FALSE)*'DGNB LCA Results'!$N$3+
                                                                  VLOOKUP(CONCATENATE('DGNB LCA Results'!$K$3,"_",E577), $A$2:$F$550,3,FALSE)*'DGNB LCA Results'!$L$3+
                                                                  VLOOKUP(CONCATENATE('DGNB LCA Results'!$I$3,"_",E577),$A$2:$F$550,3,FALSE)*'DGNB LCA Results'!$J$3+
                                                                  VLOOKUP(CONCATENATE('DGNB LCA Results'!$G$3,"_",E577), $A$2:$F$550,3,FALSE)*'DGNB LCA Results'!$H$3,
IF('DGNB LCA Results'!$P$4=3,VLOOKUP(CONCATENATE('DGNB LCA Results'!$M$3,"_",E577), $A$2:$F$550,3,FALSE)*'DGNB LCA Results'!$N$3+
                                                                VLOOKUP(CONCATENATE('DGNB LCA Results'!$K$3,"_",E577), $A$2:$F$550,3,FALSE)*'DGNB LCA Results'!$L$3+
                                                                VLOOKUP(CONCATENATE('DGNB LCA Results'!$I$3,"_",E577),$A$2:$F$550,3,FALSE)*'DGNB LCA Results'!$J$3,
IF('DGNB LCA Results'!$P$4=2,VLOOKUP(CONCATENATE('DGNB LCA Results'!$M$3,"_",E577), $A$2:$F$550,3,FALSE)*'DGNB LCA Results'!$N$3+
                                                                 VLOOKUP(CONCATENATE('DGNB LCA Results'!$K$3,"_",E577),$A$2:$F$550,3,FALSE)*'DGNB LCA Results'!$L$3,
IF('DGNB LCA Results'!$P$4=1,VLOOKUP(CONCATENATE('DGNB LCA Results'!$M$3,"_",E577), $A$2:$F$550,3,FALSE)*'DGNB LCA Results'!$N$3,0))))</f>
        <v>0</v>
      </c>
      <c r="D577">
        <f>IF('DGNB LCA Results'!$P$4=4,VLOOKUP(CONCATENATE('DGNB LCA Results'!$M$3,"_",E577), $A$2:$F$550,4,FALSE)*'DGNB LCA Results'!$N$3+
                                                                  VLOOKUP(CONCATENATE('DGNB LCA Results'!$K$3,"_",E577), $A$2:$F$550,4,FALSE)*'DGNB LCA Results'!$L$3+
                                                                  VLOOKUP(CONCATENATE('DGNB LCA Results'!$I$3,"_",E577),$A$2:$F$550,4,FALSE)*'DGNB LCA Results'!$J$3+
                                                                  VLOOKUP(CONCATENATE('DGNB LCA Results'!$G$3,"_",E577), $A$2:$F$550,4,FALSE)*'DGNB LCA Results'!$H$3,
IF('DGNB LCA Results'!$P$4=3,VLOOKUP(CONCATENATE('DGNB LCA Results'!$M$3,"_",E577), $A$2:$F$550,4,FALSE)*'DGNB LCA Results'!$N$3+
                                                                VLOOKUP(CONCATENATE('DGNB LCA Results'!$K$3,"_",E577), $A$2:$F$550,4,FALSE)*'DGNB LCA Results'!$L$3+
                                                                VLOOKUP(CONCATENATE('DGNB LCA Results'!$I$3,"_",E577),$A$2:$F$550,4,FALSE)*'DGNB LCA Results'!$J$3,
IF('DGNB LCA Results'!$P$4=2,VLOOKUP(CONCATENATE('DGNB LCA Results'!$M$3,"_",E577), $A$2:$F$550,4,FALSE)*'DGNB LCA Results'!$N$3+
                                                                 VLOOKUP(CONCATENATE('DGNB LCA Results'!$K$3,"_",E577),$A$2:$F$550,4,FALSE)*'DGNB LCA Results'!$L$3,
IF('DGNB LCA Results'!$P$4=1,VLOOKUP(CONCATENATE('DGNB LCA Results'!$M$3,"_",E577), $A$2:$F$550,4,FALSE)*'DGNB LCA Results'!$N$3,0))))</f>
        <v>0</v>
      </c>
      <c r="E577">
        <v>80</v>
      </c>
      <c r="F577" t="s">
        <v>193</v>
      </c>
    </row>
    <row r="578" spans="1:6" x14ac:dyDescent="0.2">
      <c r="A578" t="str">
        <f t="shared" si="8"/>
        <v>MIX12_85</v>
      </c>
      <c r="B578">
        <f>IF('DGNB LCA Results'!$P$4=4,VLOOKUP(CONCATENATE('DGNB LCA Results'!$M$3,"_",E578), $A$2:$F$550,2,FALSE)*'DGNB LCA Results'!$N$3+
                                                                  VLOOKUP(CONCATENATE('DGNB LCA Results'!$K$3,"_",E578), $A$2:$F$550,2,FALSE)*'DGNB LCA Results'!$L$3+
                                                                  VLOOKUP(CONCATENATE('DGNB LCA Results'!$I$3,"_",E578),$A$2:$F$550,2,FALSE)*'DGNB LCA Results'!$J$3+
                                                                  VLOOKUP(CONCATENATE('DGNB LCA Results'!$G$3,"_",E578), $A$2:$F$550,2,FALSE)*'DGNB LCA Results'!$H$3,
IF('DGNB LCA Results'!$P$4=3,VLOOKUP(CONCATENATE('DGNB LCA Results'!$M$3,"_",E578), $A$2:$F$550,2,FALSE)*'DGNB LCA Results'!$N$3+
                                                                VLOOKUP(CONCATENATE('DGNB LCA Results'!$K$3,"_",E578), $A$2:$F$550,2,FALSE)*'DGNB LCA Results'!$L$3+
                                                                VLOOKUP(CONCATENATE('DGNB LCA Results'!$I$3,"_",E578),$A$2:$F$550,2,FALSE)*'DGNB LCA Results'!$J$3,
IF('DGNB LCA Results'!$P$4=2,VLOOKUP(CONCATENATE('DGNB LCA Results'!$M$3,"_",E578), $A$2:$F$550,2,FALSE)*'DGNB LCA Results'!$N$3+
                                                                 VLOOKUP(CONCATENATE('DGNB LCA Results'!$K$3,"_",E578),$A$2:$F$550,2,FALSE)*'DGNB LCA Results'!$L$3,
IF('DGNB LCA Results'!$P$4=1,VLOOKUP(CONCATENATE('DGNB LCA Results'!$M$3,"_",E578), $A$2:$F$550,2,FALSE)*'DGNB LCA Results'!$N$3,0))))</f>
        <v>0</v>
      </c>
      <c r="C578">
        <f>IF('DGNB LCA Results'!$P$4=4,VLOOKUP(CONCATENATE('DGNB LCA Results'!$M$3,"_",E578), $A$2:$F$550,3,FALSE)*'DGNB LCA Results'!$N$3+
                                                                  VLOOKUP(CONCATENATE('DGNB LCA Results'!$K$3,"_",E578), $A$2:$F$550,3,FALSE)*'DGNB LCA Results'!$L$3+
                                                                  VLOOKUP(CONCATENATE('DGNB LCA Results'!$I$3,"_",E578),$A$2:$F$550,3,FALSE)*'DGNB LCA Results'!$J$3+
                                                                  VLOOKUP(CONCATENATE('DGNB LCA Results'!$G$3,"_",E578), $A$2:$F$550,3,FALSE)*'DGNB LCA Results'!$H$3,
IF('DGNB LCA Results'!$P$4=3,VLOOKUP(CONCATENATE('DGNB LCA Results'!$M$3,"_",E578), $A$2:$F$550,3,FALSE)*'DGNB LCA Results'!$N$3+
                                                                VLOOKUP(CONCATENATE('DGNB LCA Results'!$K$3,"_",E578), $A$2:$F$550,3,FALSE)*'DGNB LCA Results'!$L$3+
                                                                VLOOKUP(CONCATENATE('DGNB LCA Results'!$I$3,"_",E578),$A$2:$F$550,3,FALSE)*'DGNB LCA Results'!$J$3,
IF('DGNB LCA Results'!$P$4=2,VLOOKUP(CONCATENATE('DGNB LCA Results'!$M$3,"_",E578), $A$2:$F$550,3,FALSE)*'DGNB LCA Results'!$N$3+
                                                                 VLOOKUP(CONCATENATE('DGNB LCA Results'!$K$3,"_",E578),$A$2:$F$550,3,FALSE)*'DGNB LCA Results'!$L$3,
IF('DGNB LCA Results'!$P$4=1,VLOOKUP(CONCATENATE('DGNB LCA Results'!$M$3,"_",E578), $A$2:$F$550,3,FALSE)*'DGNB LCA Results'!$N$3,0))))</f>
        <v>0</v>
      </c>
      <c r="D578">
        <f>IF('DGNB LCA Results'!$P$4=4,VLOOKUP(CONCATENATE('DGNB LCA Results'!$M$3,"_",E578), $A$2:$F$550,4,FALSE)*'DGNB LCA Results'!$N$3+
                                                                  VLOOKUP(CONCATENATE('DGNB LCA Results'!$K$3,"_",E578), $A$2:$F$550,4,FALSE)*'DGNB LCA Results'!$L$3+
                                                                  VLOOKUP(CONCATENATE('DGNB LCA Results'!$I$3,"_",E578),$A$2:$F$550,4,FALSE)*'DGNB LCA Results'!$J$3+
                                                                  VLOOKUP(CONCATENATE('DGNB LCA Results'!$G$3,"_",E578), $A$2:$F$550,4,FALSE)*'DGNB LCA Results'!$H$3,
IF('DGNB LCA Results'!$P$4=3,VLOOKUP(CONCATENATE('DGNB LCA Results'!$M$3,"_",E578), $A$2:$F$550,4,FALSE)*'DGNB LCA Results'!$N$3+
                                                                VLOOKUP(CONCATENATE('DGNB LCA Results'!$K$3,"_",E578), $A$2:$F$550,4,FALSE)*'DGNB LCA Results'!$L$3+
                                                                VLOOKUP(CONCATENATE('DGNB LCA Results'!$I$3,"_",E578),$A$2:$F$550,4,FALSE)*'DGNB LCA Results'!$J$3,
IF('DGNB LCA Results'!$P$4=2,VLOOKUP(CONCATENATE('DGNB LCA Results'!$M$3,"_",E578), $A$2:$F$550,4,FALSE)*'DGNB LCA Results'!$N$3+
                                                                 VLOOKUP(CONCATENATE('DGNB LCA Results'!$K$3,"_",E578),$A$2:$F$550,4,FALSE)*'DGNB LCA Results'!$L$3,
IF('DGNB LCA Results'!$P$4=1,VLOOKUP(CONCATENATE('DGNB LCA Results'!$M$3,"_",E578), $A$2:$F$550,4,FALSE)*'DGNB LCA Results'!$N$3,0))))</f>
        <v>0</v>
      </c>
      <c r="E578">
        <v>85</v>
      </c>
      <c r="F578" t="s">
        <v>193</v>
      </c>
    </row>
    <row r="579" spans="1:6" x14ac:dyDescent="0.2">
      <c r="A579" t="str">
        <f t="shared" si="8"/>
        <v>MIX12_90</v>
      </c>
      <c r="B579">
        <f>IF('DGNB LCA Results'!$P$4=4,VLOOKUP(CONCATENATE('DGNB LCA Results'!$M$3,"_",E579), $A$2:$F$550,2,FALSE)*'DGNB LCA Results'!$N$3+
                                                                  VLOOKUP(CONCATENATE('DGNB LCA Results'!$K$3,"_",E579), $A$2:$F$550,2,FALSE)*'DGNB LCA Results'!$L$3+
                                                                  VLOOKUP(CONCATENATE('DGNB LCA Results'!$I$3,"_",E579),$A$2:$F$550,2,FALSE)*'DGNB LCA Results'!$J$3+
                                                                  VLOOKUP(CONCATENATE('DGNB LCA Results'!$G$3,"_",E579), $A$2:$F$550,2,FALSE)*'DGNB LCA Results'!$H$3,
IF('DGNB LCA Results'!$P$4=3,VLOOKUP(CONCATENATE('DGNB LCA Results'!$M$3,"_",E579), $A$2:$F$550,2,FALSE)*'DGNB LCA Results'!$N$3+
                                                                VLOOKUP(CONCATENATE('DGNB LCA Results'!$K$3,"_",E579), $A$2:$F$550,2,FALSE)*'DGNB LCA Results'!$L$3+
                                                                VLOOKUP(CONCATENATE('DGNB LCA Results'!$I$3,"_",E579),$A$2:$F$550,2,FALSE)*'DGNB LCA Results'!$J$3,
IF('DGNB LCA Results'!$P$4=2,VLOOKUP(CONCATENATE('DGNB LCA Results'!$M$3,"_",E579), $A$2:$F$550,2,FALSE)*'DGNB LCA Results'!$N$3+
                                                                 VLOOKUP(CONCATENATE('DGNB LCA Results'!$K$3,"_",E579),$A$2:$F$550,2,FALSE)*'DGNB LCA Results'!$L$3,
IF('DGNB LCA Results'!$P$4=1,VLOOKUP(CONCATENATE('DGNB LCA Results'!$M$3,"_",E579), $A$2:$F$550,2,FALSE)*'DGNB LCA Results'!$N$3,0))))</f>
        <v>0</v>
      </c>
      <c r="C579">
        <f>IF('DGNB LCA Results'!$P$4=4,VLOOKUP(CONCATENATE('DGNB LCA Results'!$M$3,"_",E579), $A$2:$F$550,3,FALSE)*'DGNB LCA Results'!$N$3+
                                                                  VLOOKUP(CONCATENATE('DGNB LCA Results'!$K$3,"_",E579), $A$2:$F$550,3,FALSE)*'DGNB LCA Results'!$L$3+
                                                                  VLOOKUP(CONCATENATE('DGNB LCA Results'!$I$3,"_",E579),$A$2:$F$550,3,FALSE)*'DGNB LCA Results'!$J$3+
                                                                  VLOOKUP(CONCATENATE('DGNB LCA Results'!$G$3,"_",E579), $A$2:$F$550,3,FALSE)*'DGNB LCA Results'!$H$3,
IF('DGNB LCA Results'!$P$4=3,VLOOKUP(CONCATENATE('DGNB LCA Results'!$M$3,"_",E579), $A$2:$F$550,3,FALSE)*'DGNB LCA Results'!$N$3+
                                                                VLOOKUP(CONCATENATE('DGNB LCA Results'!$K$3,"_",E579), $A$2:$F$550,3,FALSE)*'DGNB LCA Results'!$L$3+
                                                                VLOOKUP(CONCATENATE('DGNB LCA Results'!$I$3,"_",E579),$A$2:$F$550,3,FALSE)*'DGNB LCA Results'!$J$3,
IF('DGNB LCA Results'!$P$4=2,VLOOKUP(CONCATENATE('DGNB LCA Results'!$M$3,"_",E579), $A$2:$F$550,3,FALSE)*'DGNB LCA Results'!$N$3+
                                                                 VLOOKUP(CONCATENATE('DGNB LCA Results'!$K$3,"_",E579),$A$2:$F$550,3,FALSE)*'DGNB LCA Results'!$L$3,
IF('DGNB LCA Results'!$P$4=1,VLOOKUP(CONCATENATE('DGNB LCA Results'!$M$3,"_",E579), $A$2:$F$550,3,FALSE)*'DGNB LCA Results'!$N$3,0))))</f>
        <v>0</v>
      </c>
      <c r="D579">
        <f>IF('DGNB LCA Results'!$P$4=4,VLOOKUP(CONCATENATE('DGNB LCA Results'!$M$3,"_",E579), $A$2:$F$550,4,FALSE)*'DGNB LCA Results'!$N$3+
                                                                  VLOOKUP(CONCATENATE('DGNB LCA Results'!$K$3,"_",E579), $A$2:$F$550,4,FALSE)*'DGNB LCA Results'!$L$3+
                                                                  VLOOKUP(CONCATENATE('DGNB LCA Results'!$I$3,"_",E579),$A$2:$F$550,4,FALSE)*'DGNB LCA Results'!$J$3+
                                                                  VLOOKUP(CONCATENATE('DGNB LCA Results'!$G$3,"_",E579), $A$2:$F$550,4,FALSE)*'DGNB LCA Results'!$H$3,
IF('DGNB LCA Results'!$P$4=3,VLOOKUP(CONCATENATE('DGNB LCA Results'!$M$3,"_",E579), $A$2:$F$550,4,FALSE)*'DGNB LCA Results'!$N$3+
                                                                VLOOKUP(CONCATENATE('DGNB LCA Results'!$K$3,"_",E579), $A$2:$F$550,4,FALSE)*'DGNB LCA Results'!$L$3+
                                                                VLOOKUP(CONCATENATE('DGNB LCA Results'!$I$3,"_",E579),$A$2:$F$550,4,FALSE)*'DGNB LCA Results'!$J$3,
IF('DGNB LCA Results'!$P$4=2,VLOOKUP(CONCATENATE('DGNB LCA Results'!$M$3,"_",E579), $A$2:$F$550,4,FALSE)*'DGNB LCA Results'!$N$3+
                                                                 VLOOKUP(CONCATENATE('DGNB LCA Results'!$K$3,"_",E579),$A$2:$F$550,4,FALSE)*'DGNB LCA Results'!$L$3,
IF('DGNB LCA Results'!$P$4=1,VLOOKUP(CONCATENATE('DGNB LCA Results'!$M$3,"_",E579), $A$2:$F$550,4,FALSE)*'DGNB LCA Results'!$N$3,0))))</f>
        <v>0</v>
      </c>
      <c r="E579">
        <v>90</v>
      </c>
      <c r="F579" t="s">
        <v>193</v>
      </c>
    </row>
    <row r="580" spans="1:6" x14ac:dyDescent="0.2">
      <c r="A580" t="str">
        <f t="shared" si="8"/>
        <v>MIX12_95</v>
      </c>
      <c r="B580">
        <f>IF('DGNB LCA Results'!$P$4=4,VLOOKUP(CONCATENATE('DGNB LCA Results'!$M$3,"_",E580), $A$2:$F$550,2,FALSE)*'DGNB LCA Results'!$N$3+
                                                                  VLOOKUP(CONCATENATE('DGNB LCA Results'!$K$3,"_",E580), $A$2:$F$550,2,FALSE)*'DGNB LCA Results'!$L$3+
                                                                  VLOOKUP(CONCATENATE('DGNB LCA Results'!$I$3,"_",E580),$A$2:$F$550,2,FALSE)*'DGNB LCA Results'!$J$3+
                                                                  VLOOKUP(CONCATENATE('DGNB LCA Results'!$G$3,"_",E580), $A$2:$F$550,2,FALSE)*'DGNB LCA Results'!$H$3,
IF('DGNB LCA Results'!$P$4=3,VLOOKUP(CONCATENATE('DGNB LCA Results'!$M$3,"_",E580), $A$2:$F$550,2,FALSE)*'DGNB LCA Results'!$N$3+
                                                                VLOOKUP(CONCATENATE('DGNB LCA Results'!$K$3,"_",E580), $A$2:$F$550,2,FALSE)*'DGNB LCA Results'!$L$3+
                                                                VLOOKUP(CONCATENATE('DGNB LCA Results'!$I$3,"_",E580),$A$2:$F$550,2,FALSE)*'DGNB LCA Results'!$J$3,
IF('DGNB LCA Results'!$P$4=2,VLOOKUP(CONCATENATE('DGNB LCA Results'!$M$3,"_",E580), $A$2:$F$550,2,FALSE)*'DGNB LCA Results'!$N$3+
                                                                 VLOOKUP(CONCATENATE('DGNB LCA Results'!$K$3,"_",E580),$A$2:$F$550,2,FALSE)*'DGNB LCA Results'!$L$3,
IF('DGNB LCA Results'!$P$4=1,VLOOKUP(CONCATENATE('DGNB LCA Results'!$M$3,"_",E580), $A$2:$F$550,2,FALSE)*'DGNB LCA Results'!$N$3,0))))</f>
        <v>0</v>
      </c>
      <c r="C580">
        <f>IF('DGNB LCA Results'!$P$4=4,VLOOKUP(CONCATENATE('DGNB LCA Results'!$M$3,"_",E580), $A$2:$F$550,3,FALSE)*'DGNB LCA Results'!$N$3+
                                                                  VLOOKUP(CONCATENATE('DGNB LCA Results'!$K$3,"_",E580), $A$2:$F$550,3,FALSE)*'DGNB LCA Results'!$L$3+
                                                                  VLOOKUP(CONCATENATE('DGNB LCA Results'!$I$3,"_",E580),$A$2:$F$550,3,FALSE)*'DGNB LCA Results'!$J$3+
                                                                  VLOOKUP(CONCATENATE('DGNB LCA Results'!$G$3,"_",E580), $A$2:$F$550,3,FALSE)*'DGNB LCA Results'!$H$3,
IF('DGNB LCA Results'!$P$4=3,VLOOKUP(CONCATENATE('DGNB LCA Results'!$M$3,"_",E580), $A$2:$F$550,3,FALSE)*'DGNB LCA Results'!$N$3+
                                                                VLOOKUP(CONCATENATE('DGNB LCA Results'!$K$3,"_",E580), $A$2:$F$550,3,FALSE)*'DGNB LCA Results'!$L$3+
                                                                VLOOKUP(CONCATENATE('DGNB LCA Results'!$I$3,"_",E580),$A$2:$F$550,3,FALSE)*'DGNB LCA Results'!$J$3,
IF('DGNB LCA Results'!$P$4=2,VLOOKUP(CONCATENATE('DGNB LCA Results'!$M$3,"_",E580), $A$2:$F$550,3,FALSE)*'DGNB LCA Results'!$N$3+
                                                                 VLOOKUP(CONCATENATE('DGNB LCA Results'!$K$3,"_",E580),$A$2:$F$550,3,FALSE)*'DGNB LCA Results'!$L$3,
IF('DGNB LCA Results'!$P$4=1,VLOOKUP(CONCATENATE('DGNB LCA Results'!$M$3,"_",E580), $A$2:$F$550,3,FALSE)*'DGNB LCA Results'!$N$3,0))))</f>
        <v>0</v>
      </c>
      <c r="D580">
        <f>IF('DGNB LCA Results'!$P$4=4,VLOOKUP(CONCATENATE('DGNB LCA Results'!$M$3,"_",E580), $A$2:$F$550,4,FALSE)*'DGNB LCA Results'!$N$3+
                                                                  VLOOKUP(CONCATENATE('DGNB LCA Results'!$K$3,"_",E580), $A$2:$F$550,4,FALSE)*'DGNB LCA Results'!$L$3+
                                                                  VLOOKUP(CONCATENATE('DGNB LCA Results'!$I$3,"_",E580),$A$2:$F$550,4,FALSE)*'DGNB LCA Results'!$J$3+
                                                                  VLOOKUP(CONCATENATE('DGNB LCA Results'!$G$3,"_",E580), $A$2:$F$550,4,FALSE)*'DGNB LCA Results'!$H$3,
IF('DGNB LCA Results'!$P$4=3,VLOOKUP(CONCATENATE('DGNB LCA Results'!$M$3,"_",E580), $A$2:$F$550,4,FALSE)*'DGNB LCA Results'!$N$3+
                                                                VLOOKUP(CONCATENATE('DGNB LCA Results'!$K$3,"_",E580), $A$2:$F$550,4,FALSE)*'DGNB LCA Results'!$L$3+
                                                                VLOOKUP(CONCATENATE('DGNB LCA Results'!$I$3,"_",E580),$A$2:$F$550,4,FALSE)*'DGNB LCA Results'!$J$3,
IF('DGNB LCA Results'!$P$4=2,VLOOKUP(CONCATENATE('DGNB LCA Results'!$M$3,"_",E580), $A$2:$F$550,4,FALSE)*'DGNB LCA Results'!$N$3+
                                                                 VLOOKUP(CONCATENATE('DGNB LCA Results'!$K$3,"_",E580),$A$2:$F$550,4,FALSE)*'DGNB LCA Results'!$L$3,
IF('DGNB LCA Results'!$P$4=1,VLOOKUP(CONCATENATE('DGNB LCA Results'!$M$3,"_",E580), $A$2:$F$550,4,FALSE)*'DGNB LCA Results'!$N$3,0))))</f>
        <v>0</v>
      </c>
      <c r="E580">
        <v>95</v>
      </c>
      <c r="F580" t="s">
        <v>193</v>
      </c>
    </row>
    <row r="581" spans="1:6" x14ac:dyDescent="0.2">
      <c r="A581" t="str">
        <f t="shared" si="8"/>
        <v>MIX12_100</v>
      </c>
      <c r="B581">
        <f>IF('DGNB LCA Results'!$P$4=4,VLOOKUP(CONCATENATE('DGNB LCA Results'!$M$3,"_",E581), $A$2:$F$550,2,FALSE)*'DGNB LCA Results'!$N$3+
                                                                  VLOOKUP(CONCATENATE('DGNB LCA Results'!$K$3,"_",E581), $A$2:$F$550,2,FALSE)*'DGNB LCA Results'!$L$3+
                                                                  VLOOKUP(CONCATENATE('DGNB LCA Results'!$I$3,"_",E581),$A$2:$F$550,2,FALSE)*'DGNB LCA Results'!$J$3+
                                                                  VLOOKUP(CONCATENATE('DGNB LCA Results'!$G$3,"_",E581), $A$2:$F$550,2,FALSE)*'DGNB LCA Results'!$H$3,
IF('DGNB LCA Results'!$P$4=3,VLOOKUP(CONCATENATE('DGNB LCA Results'!$M$3,"_",E581), $A$2:$F$550,2,FALSE)*'DGNB LCA Results'!$N$3+
                                                                VLOOKUP(CONCATENATE('DGNB LCA Results'!$K$3,"_",E581), $A$2:$F$550,2,FALSE)*'DGNB LCA Results'!$L$3+
                                                                VLOOKUP(CONCATENATE('DGNB LCA Results'!$I$3,"_",E581),$A$2:$F$550,2,FALSE)*'DGNB LCA Results'!$J$3,
IF('DGNB LCA Results'!$P$4=2,VLOOKUP(CONCATENATE('DGNB LCA Results'!$M$3,"_",E581), $A$2:$F$550,2,FALSE)*'DGNB LCA Results'!$N$3+
                                                                 VLOOKUP(CONCATENATE('DGNB LCA Results'!$K$3,"_",E581),$A$2:$F$550,2,FALSE)*'DGNB LCA Results'!$L$3,
IF('DGNB LCA Results'!$P$4=1,VLOOKUP(CONCATENATE('DGNB LCA Results'!$M$3,"_",E581), $A$2:$F$550,2,FALSE)*'DGNB LCA Results'!$N$3,0))))</f>
        <v>0</v>
      </c>
      <c r="C581">
        <f>IF('DGNB LCA Results'!$P$4=4,VLOOKUP(CONCATENATE('DGNB LCA Results'!$M$3,"_",E581), $A$2:$F$550,3,FALSE)*'DGNB LCA Results'!$N$3+
                                                                  VLOOKUP(CONCATENATE('DGNB LCA Results'!$K$3,"_",E581), $A$2:$F$550,3,FALSE)*'DGNB LCA Results'!$L$3+
                                                                  VLOOKUP(CONCATENATE('DGNB LCA Results'!$I$3,"_",E581),$A$2:$F$550,3,FALSE)*'DGNB LCA Results'!$J$3+
                                                                  VLOOKUP(CONCATENATE('DGNB LCA Results'!$G$3,"_",E581), $A$2:$F$550,3,FALSE)*'DGNB LCA Results'!$H$3,
IF('DGNB LCA Results'!$P$4=3,VLOOKUP(CONCATENATE('DGNB LCA Results'!$M$3,"_",E581), $A$2:$F$550,3,FALSE)*'DGNB LCA Results'!$N$3+
                                                                VLOOKUP(CONCATENATE('DGNB LCA Results'!$K$3,"_",E581), $A$2:$F$550,3,FALSE)*'DGNB LCA Results'!$L$3+
                                                                VLOOKUP(CONCATENATE('DGNB LCA Results'!$I$3,"_",E581),$A$2:$F$550,3,FALSE)*'DGNB LCA Results'!$J$3,
IF('DGNB LCA Results'!$P$4=2,VLOOKUP(CONCATENATE('DGNB LCA Results'!$M$3,"_",E581), $A$2:$F$550,3,FALSE)*'DGNB LCA Results'!$N$3+
                                                                 VLOOKUP(CONCATENATE('DGNB LCA Results'!$K$3,"_",E581),$A$2:$F$550,3,FALSE)*'DGNB LCA Results'!$L$3,
IF('DGNB LCA Results'!$P$4=1,VLOOKUP(CONCATENATE('DGNB LCA Results'!$M$3,"_",E581), $A$2:$F$550,3,FALSE)*'DGNB LCA Results'!$N$3,0))))</f>
        <v>0</v>
      </c>
      <c r="D581">
        <f>IF('DGNB LCA Results'!$P$4=4,VLOOKUP(CONCATENATE('DGNB LCA Results'!$M$3,"_",E581), $A$2:$F$550,4,FALSE)*'DGNB LCA Results'!$N$3+
                                                                  VLOOKUP(CONCATENATE('DGNB LCA Results'!$K$3,"_",E581), $A$2:$F$550,4,FALSE)*'DGNB LCA Results'!$L$3+
                                                                  VLOOKUP(CONCATENATE('DGNB LCA Results'!$I$3,"_",E581),$A$2:$F$550,4,FALSE)*'DGNB LCA Results'!$J$3+
                                                                  VLOOKUP(CONCATENATE('DGNB LCA Results'!$G$3,"_",E581), $A$2:$F$550,4,FALSE)*'DGNB LCA Results'!$H$3,
IF('DGNB LCA Results'!$P$4=3,VLOOKUP(CONCATENATE('DGNB LCA Results'!$M$3,"_",E581), $A$2:$F$550,4,FALSE)*'DGNB LCA Results'!$N$3+
                                                                VLOOKUP(CONCATENATE('DGNB LCA Results'!$K$3,"_",E581), $A$2:$F$550,4,FALSE)*'DGNB LCA Results'!$L$3+
                                                                VLOOKUP(CONCATENATE('DGNB LCA Results'!$I$3,"_",E581),$A$2:$F$550,4,FALSE)*'DGNB LCA Results'!$J$3,
IF('DGNB LCA Results'!$P$4=2,VLOOKUP(CONCATENATE('DGNB LCA Results'!$M$3,"_",E581), $A$2:$F$550,4,FALSE)*'DGNB LCA Results'!$N$3+
                                                                 VLOOKUP(CONCATENATE('DGNB LCA Results'!$K$3,"_",E581),$A$2:$F$550,4,FALSE)*'DGNB LCA Results'!$L$3,
IF('DGNB LCA Results'!$P$4=1,VLOOKUP(CONCATENATE('DGNB LCA Results'!$M$3,"_",E581), $A$2:$F$550,4,FALSE)*'DGNB LCA Results'!$N$3,0))))</f>
        <v>0</v>
      </c>
      <c r="E581">
        <v>100</v>
      </c>
      <c r="F581" t="s">
        <v>193</v>
      </c>
    </row>
    <row r="583" spans="1:6" x14ac:dyDescent="0.2">
      <c r="A583" t="str">
        <f t="shared" si="8"/>
        <v>MIX15_5</v>
      </c>
      <c r="B583">
        <f>IF('DGNB LCA Results'!$P$4=4,VLOOKUP(CONCATENATE('DGNB LCA Results'!$M$3,"_",E583), $A$2:$F$550,2,FALSE)*'DGNB LCA Results'!$N$3+
                                                                  VLOOKUP(CONCATENATE('DGNB LCA Results'!$K$3,"_",E583), $A$2:$F$550,2,FALSE)*'DGNB LCA Results'!$L$3+
                                                                  VLOOKUP(CONCATENATE('DGNB LCA Results'!$I$3,"_",E583),$A$2:$F$550,2,FALSE)*'DGNB LCA Results'!$J$3+
                                                                  VLOOKUP(CONCATENATE('DGNB LCA Results'!$G$3,"_",E583), $A$2:$F$550,2,FALSE)*'DGNB LCA Results'!$H$3,
IF('DGNB LCA Results'!$P$4=3,VLOOKUP(CONCATENATE('DGNB LCA Results'!$M$3,"_",E583), $A$2:$F$550,2,FALSE)*'DGNB LCA Results'!$N$3+
                                                                VLOOKUP(CONCATENATE('DGNB LCA Results'!$K$3,"_",E583), $A$2:$F$550,2,FALSE)*'DGNB LCA Results'!$L$3+
                                                                VLOOKUP(CONCATENATE('DGNB LCA Results'!$I$3,"_",E583),$A$2:$F$550,2,FALSE)*'DGNB LCA Results'!$J$3,
IF('DGNB LCA Results'!$P$4=2,VLOOKUP(CONCATENATE('DGNB LCA Results'!$M$3,"_",E583), $A$2:$F$550,2,FALSE)*'DGNB LCA Results'!$N$3+
                                                                 VLOOKUP(CONCATENATE('DGNB LCA Results'!$K$3,"_",E583),$A$2:$F$550,2,FALSE)*'DGNB LCA Results'!$L$3,
IF('DGNB LCA Results'!$P$4=1,VLOOKUP(CONCATENATE('DGNB LCA Results'!$M$3,"_",E583), $A$2:$F$550,2,FALSE)*'DGNB LCA Results'!$N$3,0))))</f>
        <v>0</v>
      </c>
      <c r="C583">
        <f>IF('DGNB LCA Results'!$P$4=4,VLOOKUP(CONCATENATE('DGNB LCA Results'!$M$3,"_",E583), $A$2:$F$550,3,FALSE)*'DGNB LCA Results'!$N$3+
                                                                  VLOOKUP(CONCATENATE('DGNB LCA Results'!$K$3,"_",E583), $A$2:$F$550,3,FALSE)*'DGNB LCA Results'!$L$3+
                                                                  VLOOKUP(CONCATENATE('DGNB LCA Results'!$I$3,"_",E583),$A$2:$F$550,3,FALSE)*'DGNB LCA Results'!$J$3+
                                                                  VLOOKUP(CONCATENATE('DGNB LCA Results'!$G$3,"_",E583), $A$2:$F$550,3,FALSE)*'DGNB LCA Results'!$H$3,
IF('DGNB LCA Results'!$P$4=3,VLOOKUP(CONCATENATE('DGNB LCA Results'!$M$3,"_",E583), $A$2:$F$550,3,FALSE)*'DGNB LCA Results'!$N$3+
                                                                VLOOKUP(CONCATENATE('DGNB LCA Results'!$K$3,"_",E583), $A$2:$F$550,3,FALSE)*'DGNB LCA Results'!$L$3+
                                                                VLOOKUP(CONCATENATE('DGNB LCA Results'!$I$3,"_",E583),$A$2:$F$550,3,FALSE)*'DGNB LCA Results'!$J$3,
IF('DGNB LCA Results'!$P$4=2,VLOOKUP(CONCATENATE('DGNB LCA Results'!$M$3,"_",E583), $A$2:$F$550,3,FALSE)*'DGNB LCA Results'!$N$3+
                                                                 VLOOKUP(CONCATENATE('DGNB LCA Results'!$K$3,"_",E583),$A$2:$F$550,3,FALSE)*'DGNB LCA Results'!$L$3,
IF('DGNB LCA Results'!$P$4=1,VLOOKUP(CONCATENATE('DGNB LCA Results'!$M$3,"_",E583), $A$2:$F$550,3,FALSE)*'DGNB LCA Results'!$N$3,0))))</f>
        <v>0</v>
      </c>
      <c r="D583">
        <f>IF('DGNB LCA Results'!$P$4=4,VLOOKUP(CONCATENATE('DGNB LCA Results'!$M$3,"_",E583), $A$2:$F$550,4,FALSE)*'DGNB LCA Results'!$N$3+
                                                                  VLOOKUP(CONCATENATE('DGNB LCA Results'!$K$3,"_",E583), $A$2:$F$550,4,FALSE)*'DGNB LCA Results'!$L$3+
                                                                  VLOOKUP(CONCATENATE('DGNB LCA Results'!$I$3,"_",E583),$A$2:$F$550,4,FALSE)*'DGNB LCA Results'!$J$3+
                                                                  VLOOKUP(CONCATENATE('DGNB LCA Results'!$G$3,"_",E583), $A$2:$F$550,4,FALSE)*'DGNB LCA Results'!$H$3,
IF('DGNB LCA Results'!$P$4=3,VLOOKUP(CONCATENATE('DGNB LCA Results'!$M$3,"_",E583), $A$2:$F$550,4,FALSE)*'DGNB LCA Results'!$N$3+
                                                                VLOOKUP(CONCATENATE('DGNB LCA Results'!$K$3,"_",E583), $A$2:$F$550,4,FALSE)*'DGNB LCA Results'!$L$3+
                                                                VLOOKUP(CONCATENATE('DGNB LCA Results'!$I$3,"_",E583),$A$2:$F$550,4,FALSE)*'DGNB LCA Results'!$J$3,
IF('DGNB LCA Results'!$P$4=2,VLOOKUP(CONCATENATE('DGNB LCA Results'!$M$3,"_",E583), $A$2:$F$550,4,FALSE)*'DGNB LCA Results'!$N$3+
                                                                 VLOOKUP(CONCATENATE('DGNB LCA Results'!$K$3,"_",E583),$A$2:$F$550,4,FALSE)*'DGNB LCA Results'!$L$3,
IF('DGNB LCA Results'!$P$4=1,VLOOKUP(CONCATENATE('DGNB LCA Results'!$M$3,"_",E583), $A$2:$F$550,4,FALSE)*'DGNB LCA Results'!$N$3,0))))</f>
        <v>0</v>
      </c>
      <c r="E583">
        <v>5</v>
      </c>
      <c r="F583" t="s">
        <v>194</v>
      </c>
    </row>
    <row r="584" spans="1:6" x14ac:dyDescent="0.2">
      <c r="A584" t="str">
        <f t="shared" si="8"/>
        <v>MIX15_10</v>
      </c>
      <c r="B584">
        <f>IF('DGNB LCA Results'!$P$4=4,VLOOKUP(CONCATENATE('DGNB LCA Results'!$M$3,"_",E584), $A$2:$F$550,2,FALSE)*'DGNB LCA Results'!$N$3+
                                                                  VLOOKUP(CONCATENATE('DGNB LCA Results'!$K$3,"_",E584), $A$2:$F$550,2,FALSE)*'DGNB LCA Results'!$L$3+
                                                                  VLOOKUP(CONCATENATE('DGNB LCA Results'!$I$3,"_",E584),$A$2:$F$550,2,FALSE)*'DGNB LCA Results'!$J$3+
                                                                  VLOOKUP(CONCATENATE('DGNB LCA Results'!$G$3,"_",E584), $A$2:$F$550,2,FALSE)*'DGNB LCA Results'!$H$3,
IF('DGNB LCA Results'!$P$4=3,VLOOKUP(CONCATENATE('DGNB LCA Results'!$M$3,"_",E584), $A$2:$F$550,2,FALSE)*'DGNB LCA Results'!$N$3+
                                                                VLOOKUP(CONCATENATE('DGNB LCA Results'!$K$3,"_",E584), $A$2:$F$550,2,FALSE)*'DGNB LCA Results'!$L$3+
                                                                VLOOKUP(CONCATENATE('DGNB LCA Results'!$I$3,"_",E584),$A$2:$F$550,2,FALSE)*'DGNB LCA Results'!$J$3,
IF('DGNB LCA Results'!$P$4=2,VLOOKUP(CONCATENATE('DGNB LCA Results'!$M$3,"_",E584), $A$2:$F$550,2,FALSE)*'DGNB LCA Results'!$N$3+
                                                                 VLOOKUP(CONCATENATE('DGNB LCA Results'!$K$3,"_",E584),$A$2:$F$550,2,FALSE)*'DGNB LCA Results'!$L$3,
IF('DGNB LCA Results'!$P$4=1,VLOOKUP(CONCATENATE('DGNB LCA Results'!$M$3,"_",E584), $A$2:$F$550,2,FALSE)*'DGNB LCA Results'!$N$3,0))))</f>
        <v>0</v>
      </c>
      <c r="C584">
        <f>IF('DGNB LCA Results'!$P$4=4,VLOOKUP(CONCATENATE('DGNB LCA Results'!$M$3,"_",E584), $A$2:$F$550,3,FALSE)*'DGNB LCA Results'!$N$3+
                                                                  VLOOKUP(CONCATENATE('DGNB LCA Results'!$K$3,"_",E584), $A$2:$F$550,3,FALSE)*'DGNB LCA Results'!$L$3+
                                                                  VLOOKUP(CONCATENATE('DGNB LCA Results'!$I$3,"_",E584),$A$2:$F$550,3,FALSE)*'DGNB LCA Results'!$J$3+
                                                                  VLOOKUP(CONCATENATE('DGNB LCA Results'!$G$3,"_",E584), $A$2:$F$550,3,FALSE)*'DGNB LCA Results'!$H$3,
IF('DGNB LCA Results'!$P$4=3,VLOOKUP(CONCATENATE('DGNB LCA Results'!$M$3,"_",E584), $A$2:$F$550,3,FALSE)*'DGNB LCA Results'!$N$3+
                                                                VLOOKUP(CONCATENATE('DGNB LCA Results'!$K$3,"_",E584), $A$2:$F$550,3,FALSE)*'DGNB LCA Results'!$L$3+
                                                                VLOOKUP(CONCATENATE('DGNB LCA Results'!$I$3,"_",E584),$A$2:$F$550,3,FALSE)*'DGNB LCA Results'!$J$3,
IF('DGNB LCA Results'!$P$4=2,VLOOKUP(CONCATENATE('DGNB LCA Results'!$M$3,"_",E584), $A$2:$F$550,3,FALSE)*'DGNB LCA Results'!$N$3+
                                                                 VLOOKUP(CONCATENATE('DGNB LCA Results'!$K$3,"_",E584),$A$2:$F$550,3,FALSE)*'DGNB LCA Results'!$L$3,
IF('DGNB LCA Results'!$P$4=1,VLOOKUP(CONCATENATE('DGNB LCA Results'!$M$3,"_",E584), $A$2:$F$550,3,FALSE)*'DGNB LCA Results'!$N$3,0))))</f>
        <v>0</v>
      </c>
      <c r="D584">
        <f>IF('DGNB LCA Results'!$P$4=4,VLOOKUP(CONCATENATE('DGNB LCA Results'!$M$3,"_",E584), $A$2:$F$550,4,FALSE)*'DGNB LCA Results'!$N$3+
                                                                  VLOOKUP(CONCATENATE('DGNB LCA Results'!$K$3,"_",E584), $A$2:$F$550,4,FALSE)*'DGNB LCA Results'!$L$3+
                                                                  VLOOKUP(CONCATENATE('DGNB LCA Results'!$I$3,"_",E584),$A$2:$F$550,4,FALSE)*'DGNB LCA Results'!$J$3+
                                                                  VLOOKUP(CONCATENATE('DGNB LCA Results'!$G$3,"_",E584), $A$2:$F$550,4,FALSE)*'DGNB LCA Results'!$H$3,
IF('DGNB LCA Results'!$P$4=3,VLOOKUP(CONCATENATE('DGNB LCA Results'!$M$3,"_",E584), $A$2:$F$550,4,FALSE)*'DGNB LCA Results'!$N$3+
                                                                VLOOKUP(CONCATENATE('DGNB LCA Results'!$K$3,"_",E584), $A$2:$F$550,4,FALSE)*'DGNB LCA Results'!$L$3+
                                                                VLOOKUP(CONCATENATE('DGNB LCA Results'!$I$3,"_",E584),$A$2:$F$550,4,FALSE)*'DGNB LCA Results'!$J$3,
IF('DGNB LCA Results'!$P$4=2,VLOOKUP(CONCATENATE('DGNB LCA Results'!$M$3,"_",E584), $A$2:$F$550,4,FALSE)*'DGNB LCA Results'!$N$3+
                                                                 VLOOKUP(CONCATENATE('DGNB LCA Results'!$K$3,"_",E584),$A$2:$F$550,4,FALSE)*'DGNB LCA Results'!$L$3,
IF('DGNB LCA Results'!$P$4=1,VLOOKUP(CONCATENATE('DGNB LCA Results'!$M$3,"_",E584), $A$2:$F$550,4,FALSE)*'DGNB LCA Results'!$N$3,0))))</f>
        <v>0</v>
      </c>
      <c r="E584">
        <v>10</v>
      </c>
      <c r="F584" t="s">
        <v>194</v>
      </c>
    </row>
    <row r="585" spans="1:6" x14ac:dyDescent="0.2">
      <c r="A585" t="str">
        <f t="shared" si="8"/>
        <v>MIX15_15</v>
      </c>
      <c r="B585">
        <f>IF('DGNB LCA Results'!$P$4=4,VLOOKUP(CONCATENATE('DGNB LCA Results'!$M$3,"_",E585), $A$2:$F$550,2,FALSE)*'DGNB LCA Results'!$N$3+
                                                                  VLOOKUP(CONCATENATE('DGNB LCA Results'!$K$3,"_",E585), $A$2:$F$550,2,FALSE)*'DGNB LCA Results'!$L$3+
                                                                  VLOOKUP(CONCATENATE('DGNB LCA Results'!$I$3,"_",E585),$A$2:$F$550,2,FALSE)*'DGNB LCA Results'!$J$3+
                                                                  VLOOKUP(CONCATENATE('DGNB LCA Results'!$G$3,"_",E585), $A$2:$F$550,2,FALSE)*'DGNB LCA Results'!$H$3,
IF('DGNB LCA Results'!$P$4=3,VLOOKUP(CONCATENATE('DGNB LCA Results'!$M$3,"_",E585), $A$2:$F$550,2,FALSE)*'DGNB LCA Results'!$N$3+
                                                                VLOOKUP(CONCATENATE('DGNB LCA Results'!$K$3,"_",E585), $A$2:$F$550,2,FALSE)*'DGNB LCA Results'!$L$3+
                                                                VLOOKUP(CONCATENATE('DGNB LCA Results'!$I$3,"_",E585),$A$2:$F$550,2,FALSE)*'DGNB LCA Results'!$J$3,
IF('DGNB LCA Results'!$P$4=2,VLOOKUP(CONCATENATE('DGNB LCA Results'!$M$3,"_",E585), $A$2:$F$550,2,FALSE)*'DGNB LCA Results'!$N$3+
                                                                 VLOOKUP(CONCATENATE('DGNB LCA Results'!$K$3,"_",E585),$A$2:$F$550,2,FALSE)*'DGNB LCA Results'!$L$3,
IF('DGNB LCA Results'!$P$4=1,VLOOKUP(CONCATENATE('DGNB LCA Results'!$M$3,"_",E585), $A$2:$F$550,2,FALSE)*'DGNB LCA Results'!$N$3,0))))</f>
        <v>0</v>
      </c>
      <c r="C585">
        <f>IF('DGNB LCA Results'!$P$4=4,VLOOKUP(CONCATENATE('DGNB LCA Results'!$M$3,"_",E585), $A$2:$F$550,3,FALSE)*'DGNB LCA Results'!$N$3+
                                                                  VLOOKUP(CONCATENATE('DGNB LCA Results'!$K$3,"_",E585), $A$2:$F$550,3,FALSE)*'DGNB LCA Results'!$L$3+
                                                                  VLOOKUP(CONCATENATE('DGNB LCA Results'!$I$3,"_",E585),$A$2:$F$550,3,FALSE)*'DGNB LCA Results'!$J$3+
                                                                  VLOOKUP(CONCATENATE('DGNB LCA Results'!$G$3,"_",E585), $A$2:$F$550,3,FALSE)*'DGNB LCA Results'!$H$3,
IF('DGNB LCA Results'!$P$4=3,VLOOKUP(CONCATENATE('DGNB LCA Results'!$M$3,"_",E585), $A$2:$F$550,3,FALSE)*'DGNB LCA Results'!$N$3+
                                                                VLOOKUP(CONCATENATE('DGNB LCA Results'!$K$3,"_",E585), $A$2:$F$550,3,FALSE)*'DGNB LCA Results'!$L$3+
                                                                VLOOKUP(CONCATENATE('DGNB LCA Results'!$I$3,"_",E585),$A$2:$F$550,3,FALSE)*'DGNB LCA Results'!$J$3,
IF('DGNB LCA Results'!$P$4=2,VLOOKUP(CONCATENATE('DGNB LCA Results'!$M$3,"_",E585), $A$2:$F$550,3,FALSE)*'DGNB LCA Results'!$N$3+
                                                                 VLOOKUP(CONCATENATE('DGNB LCA Results'!$K$3,"_",E585),$A$2:$F$550,3,FALSE)*'DGNB LCA Results'!$L$3,
IF('DGNB LCA Results'!$P$4=1,VLOOKUP(CONCATENATE('DGNB LCA Results'!$M$3,"_",E585), $A$2:$F$550,3,FALSE)*'DGNB LCA Results'!$N$3,0))))</f>
        <v>0</v>
      </c>
      <c r="D585">
        <f>IF('DGNB LCA Results'!$P$4=4,VLOOKUP(CONCATENATE('DGNB LCA Results'!$M$3,"_",E585), $A$2:$F$550,4,FALSE)*'DGNB LCA Results'!$N$3+
                                                                  VLOOKUP(CONCATENATE('DGNB LCA Results'!$K$3,"_",E585), $A$2:$F$550,4,FALSE)*'DGNB LCA Results'!$L$3+
                                                                  VLOOKUP(CONCATENATE('DGNB LCA Results'!$I$3,"_",E585),$A$2:$F$550,4,FALSE)*'DGNB LCA Results'!$J$3+
                                                                  VLOOKUP(CONCATENATE('DGNB LCA Results'!$G$3,"_",E585), $A$2:$F$550,4,FALSE)*'DGNB LCA Results'!$H$3,
IF('DGNB LCA Results'!$P$4=3,VLOOKUP(CONCATENATE('DGNB LCA Results'!$M$3,"_",E585), $A$2:$F$550,4,FALSE)*'DGNB LCA Results'!$N$3+
                                                                VLOOKUP(CONCATENATE('DGNB LCA Results'!$K$3,"_",E585), $A$2:$F$550,4,FALSE)*'DGNB LCA Results'!$L$3+
                                                                VLOOKUP(CONCATENATE('DGNB LCA Results'!$I$3,"_",E585),$A$2:$F$550,4,FALSE)*'DGNB LCA Results'!$J$3,
IF('DGNB LCA Results'!$P$4=2,VLOOKUP(CONCATENATE('DGNB LCA Results'!$M$3,"_",E585), $A$2:$F$550,4,FALSE)*'DGNB LCA Results'!$N$3+
                                                                 VLOOKUP(CONCATENATE('DGNB LCA Results'!$K$3,"_",E585),$A$2:$F$550,4,FALSE)*'DGNB LCA Results'!$L$3,
IF('DGNB LCA Results'!$P$4=1,VLOOKUP(CONCATENATE('DGNB LCA Results'!$M$3,"_",E585), $A$2:$F$550,4,FALSE)*'DGNB LCA Results'!$N$3,0))))</f>
        <v>0</v>
      </c>
      <c r="E585">
        <v>15</v>
      </c>
      <c r="F585" t="s">
        <v>194</v>
      </c>
    </row>
    <row r="586" spans="1:6" x14ac:dyDescent="0.2">
      <c r="A586" t="str">
        <f t="shared" si="8"/>
        <v>MIX15_20</v>
      </c>
      <c r="B586">
        <f>IF('DGNB LCA Results'!$P$4=4,VLOOKUP(CONCATENATE('DGNB LCA Results'!$M$3,"_",E586), $A$2:$F$550,2,FALSE)*'DGNB LCA Results'!$N$3+
                                                                  VLOOKUP(CONCATENATE('DGNB LCA Results'!$K$3,"_",E586), $A$2:$F$550,2,FALSE)*'DGNB LCA Results'!$L$3+
                                                                  VLOOKUP(CONCATENATE('DGNB LCA Results'!$I$3,"_",E586),$A$2:$F$550,2,FALSE)*'DGNB LCA Results'!$J$3+
                                                                  VLOOKUP(CONCATENATE('DGNB LCA Results'!$G$3,"_",E586), $A$2:$F$550,2,FALSE)*'DGNB LCA Results'!$H$3,
IF('DGNB LCA Results'!$P$4=3,VLOOKUP(CONCATENATE('DGNB LCA Results'!$M$3,"_",E586), $A$2:$F$550,2,FALSE)*'DGNB LCA Results'!$N$3+
                                                                VLOOKUP(CONCATENATE('DGNB LCA Results'!$K$3,"_",E586), $A$2:$F$550,2,FALSE)*'DGNB LCA Results'!$L$3+
                                                                VLOOKUP(CONCATENATE('DGNB LCA Results'!$I$3,"_",E586),$A$2:$F$550,2,FALSE)*'DGNB LCA Results'!$J$3,
IF('DGNB LCA Results'!$P$4=2,VLOOKUP(CONCATENATE('DGNB LCA Results'!$M$3,"_",E586), $A$2:$F$550,2,FALSE)*'DGNB LCA Results'!$N$3+
                                                                 VLOOKUP(CONCATENATE('DGNB LCA Results'!$K$3,"_",E586),$A$2:$F$550,2,FALSE)*'DGNB LCA Results'!$L$3,
IF('DGNB LCA Results'!$P$4=1,VLOOKUP(CONCATENATE('DGNB LCA Results'!$M$3,"_",E586), $A$2:$F$550,2,FALSE)*'DGNB LCA Results'!$N$3,0))))</f>
        <v>0</v>
      </c>
      <c r="C586">
        <f>IF('DGNB LCA Results'!$P$4=4,VLOOKUP(CONCATENATE('DGNB LCA Results'!$M$3,"_",E586), $A$2:$F$550,3,FALSE)*'DGNB LCA Results'!$N$3+
                                                                  VLOOKUP(CONCATENATE('DGNB LCA Results'!$K$3,"_",E586), $A$2:$F$550,3,FALSE)*'DGNB LCA Results'!$L$3+
                                                                  VLOOKUP(CONCATENATE('DGNB LCA Results'!$I$3,"_",E586),$A$2:$F$550,3,FALSE)*'DGNB LCA Results'!$J$3+
                                                                  VLOOKUP(CONCATENATE('DGNB LCA Results'!$G$3,"_",E586), $A$2:$F$550,3,FALSE)*'DGNB LCA Results'!$H$3,
IF('DGNB LCA Results'!$P$4=3,VLOOKUP(CONCATENATE('DGNB LCA Results'!$M$3,"_",E586), $A$2:$F$550,3,FALSE)*'DGNB LCA Results'!$N$3+
                                                                VLOOKUP(CONCATENATE('DGNB LCA Results'!$K$3,"_",E586), $A$2:$F$550,3,FALSE)*'DGNB LCA Results'!$L$3+
                                                                VLOOKUP(CONCATENATE('DGNB LCA Results'!$I$3,"_",E586),$A$2:$F$550,3,FALSE)*'DGNB LCA Results'!$J$3,
IF('DGNB LCA Results'!$P$4=2,VLOOKUP(CONCATENATE('DGNB LCA Results'!$M$3,"_",E586), $A$2:$F$550,3,FALSE)*'DGNB LCA Results'!$N$3+
                                                                 VLOOKUP(CONCATENATE('DGNB LCA Results'!$K$3,"_",E586),$A$2:$F$550,3,FALSE)*'DGNB LCA Results'!$L$3,
IF('DGNB LCA Results'!$P$4=1,VLOOKUP(CONCATENATE('DGNB LCA Results'!$M$3,"_",E586), $A$2:$F$550,3,FALSE)*'DGNB LCA Results'!$N$3,0))))</f>
        <v>0</v>
      </c>
      <c r="D586">
        <f>IF('DGNB LCA Results'!$P$4=4,VLOOKUP(CONCATENATE('DGNB LCA Results'!$M$3,"_",E586), $A$2:$F$550,4,FALSE)*'DGNB LCA Results'!$N$3+
                                                                  VLOOKUP(CONCATENATE('DGNB LCA Results'!$K$3,"_",E586), $A$2:$F$550,4,FALSE)*'DGNB LCA Results'!$L$3+
                                                                  VLOOKUP(CONCATENATE('DGNB LCA Results'!$I$3,"_",E586),$A$2:$F$550,4,FALSE)*'DGNB LCA Results'!$J$3+
                                                                  VLOOKUP(CONCATENATE('DGNB LCA Results'!$G$3,"_",E586), $A$2:$F$550,4,FALSE)*'DGNB LCA Results'!$H$3,
IF('DGNB LCA Results'!$P$4=3,VLOOKUP(CONCATENATE('DGNB LCA Results'!$M$3,"_",E586), $A$2:$F$550,4,FALSE)*'DGNB LCA Results'!$N$3+
                                                                VLOOKUP(CONCATENATE('DGNB LCA Results'!$K$3,"_",E586), $A$2:$F$550,4,FALSE)*'DGNB LCA Results'!$L$3+
                                                                VLOOKUP(CONCATENATE('DGNB LCA Results'!$I$3,"_",E586),$A$2:$F$550,4,FALSE)*'DGNB LCA Results'!$J$3,
IF('DGNB LCA Results'!$P$4=2,VLOOKUP(CONCATENATE('DGNB LCA Results'!$M$3,"_",E586), $A$2:$F$550,4,FALSE)*'DGNB LCA Results'!$N$3+
                                                                 VLOOKUP(CONCATENATE('DGNB LCA Results'!$K$3,"_",E586),$A$2:$F$550,4,FALSE)*'DGNB LCA Results'!$L$3,
IF('DGNB LCA Results'!$P$4=1,VLOOKUP(CONCATENATE('DGNB LCA Results'!$M$3,"_",E586), $A$2:$F$550,4,FALSE)*'DGNB LCA Results'!$N$3,0))))</f>
        <v>0</v>
      </c>
      <c r="E586">
        <v>20</v>
      </c>
      <c r="F586" t="s">
        <v>194</v>
      </c>
    </row>
    <row r="587" spans="1:6" x14ac:dyDescent="0.2">
      <c r="A587" t="str">
        <f t="shared" si="8"/>
        <v>MIX15_25</v>
      </c>
      <c r="B587">
        <f>IF('DGNB LCA Results'!$P$4=4,VLOOKUP(CONCATENATE('DGNB LCA Results'!$M$3,"_",E587), $A$2:$F$550,2,FALSE)*'DGNB LCA Results'!$N$3+
                                                                  VLOOKUP(CONCATENATE('DGNB LCA Results'!$K$3,"_",E587), $A$2:$F$550,2,FALSE)*'DGNB LCA Results'!$L$3+
                                                                  VLOOKUP(CONCATENATE('DGNB LCA Results'!$I$3,"_",E587),$A$2:$F$550,2,FALSE)*'DGNB LCA Results'!$J$3+
                                                                  VLOOKUP(CONCATENATE('DGNB LCA Results'!$G$3,"_",E587), $A$2:$F$550,2,FALSE)*'DGNB LCA Results'!$H$3,
IF('DGNB LCA Results'!$P$4=3,VLOOKUP(CONCATENATE('DGNB LCA Results'!$M$3,"_",E587), $A$2:$F$550,2,FALSE)*'DGNB LCA Results'!$N$3+
                                                                VLOOKUP(CONCATENATE('DGNB LCA Results'!$K$3,"_",E587), $A$2:$F$550,2,FALSE)*'DGNB LCA Results'!$L$3+
                                                                VLOOKUP(CONCATENATE('DGNB LCA Results'!$I$3,"_",E587),$A$2:$F$550,2,FALSE)*'DGNB LCA Results'!$J$3,
IF('DGNB LCA Results'!$P$4=2,VLOOKUP(CONCATENATE('DGNB LCA Results'!$M$3,"_",E587), $A$2:$F$550,2,FALSE)*'DGNB LCA Results'!$N$3+
                                                                 VLOOKUP(CONCATENATE('DGNB LCA Results'!$K$3,"_",E587),$A$2:$F$550,2,FALSE)*'DGNB LCA Results'!$L$3,
IF('DGNB LCA Results'!$P$4=1,VLOOKUP(CONCATENATE('DGNB LCA Results'!$M$3,"_",E587), $A$2:$F$550,2,FALSE)*'DGNB LCA Results'!$N$3,0))))</f>
        <v>0</v>
      </c>
      <c r="C587">
        <f>IF('DGNB LCA Results'!$P$4=4,VLOOKUP(CONCATENATE('DGNB LCA Results'!$M$3,"_",E587), $A$2:$F$550,3,FALSE)*'DGNB LCA Results'!$N$3+
                                                                  VLOOKUP(CONCATENATE('DGNB LCA Results'!$K$3,"_",E587), $A$2:$F$550,3,FALSE)*'DGNB LCA Results'!$L$3+
                                                                  VLOOKUP(CONCATENATE('DGNB LCA Results'!$I$3,"_",E587),$A$2:$F$550,3,FALSE)*'DGNB LCA Results'!$J$3+
                                                                  VLOOKUP(CONCATENATE('DGNB LCA Results'!$G$3,"_",E587), $A$2:$F$550,3,FALSE)*'DGNB LCA Results'!$H$3,
IF('DGNB LCA Results'!$P$4=3,VLOOKUP(CONCATENATE('DGNB LCA Results'!$M$3,"_",E587), $A$2:$F$550,3,FALSE)*'DGNB LCA Results'!$N$3+
                                                                VLOOKUP(CONCATENATE('DGNB LCA Results'!$K$3,"_",E587), $A$2:$F$550,3,FALSE)*'DGNB LCA Results'!$L$3+
                                                                VLOOKUP(CONCATENATE('DGNB LCA Results'!$I$3,"_",E587),$A$2:$F$550,3,FALSE)*'DGNB LCA Results'!$J$3,
IF('DGNB LCA Results'!$P$4=2,VLOOKUP(CONCATENATE('DGNB LCA Results'!$M$3,"_",E587), $A$2:$F$550,3,FALSE)*'DGNB LCA Results'!$N$3+
                                                                 VLOOKUP(CONCATENATE('DGNB LCA Results'!$K$3,"_",E587),$A$2:$F$550,3,FALSE)*'DGNB LCA Results'!$L$3,
IF('DGNB LCA Results'!$P$4=1,VLOOKUP(CONCATENATE('DGNB LCA Results'!$M$3,"_",E587), $A$2:$F$550,3,FALSE)*'DGNB LCA Results'!$N$3,0))))</f>
        <v>0</v>
      </c>
      <c r="D587">
        <f>IF('DGNB LCA Results'!$P$4=4,VLOOKUP(CONCATENATE('DGNB LCA Results'!$M$3,"_",E587), $A$2:$F$550,4,FALSE)*'DGNB LCA Results'!$N$3+
                                                                  VLOOKUP(CONCATENATE('DGNB LCA Results'!$K$3,"_",E587), $A$2:$F$550,4,FALSE)*'DGNB LCA Results'!$L$3+
                                                                  VLOOKUP(CONCATENATE('DGNB LCA Results'!$I$3,"_",E587),$A$2:$F$550,4,FALSE)*'DGNB LCA Results'!$J$3+
                                                                  VLOOKUP(CONCATENATE('DGNB LCA Results'!$G$3,"_",E587), $A$2:$F$550,4,FALSE)*'DGNB LCA Results'!$H$3,
IF('DGNB LCA Results'!$P$4=3,VLOOKUP(CONCATENATE('DGNB LCA Results'!$M$3,"_",E587), $A$2:$F$550,4,FALSE)*'DGNB LCA Results'!$N$3+
                                                                VLOOKUP(CONCATENATE('DGNB LCA Results'!$K$3,"_",E587), $A$2:$F$550,4,FALSE)*'DGNB LCA Results'!$L$3+
                                                                VLOOKUP(CONCATENATE('DGNB LCA Results'!$I$3,"_",E587),$A$2:$F$550,4,FALSE)*'DGNB LCA Results'!$J$3,
IF('DGNB LCA Results'!$P$4=2,VLOOKUP(CONCATENATE('DGNB LCA Results'!$M$3,"_",E587), $A$2:$F$550,4,FALSE)*'DGNB LCA Results'!$N$3+
                                                                 VLOOKUP(CONCATENATE('DGNB LCA Results'!$K$3,"_",E587),$A$2:$F$550,4,FALSE)*'DGNB LCA Results'!$L$3,
IF('DGNB LCA Results'!$P$4=1,VLOOKUP(CONCATENATE('DGNB LCA Results'!$M$3,"_",E587), $A$2:$F$550,4,FALSE)*'DGNB LCA Results'!$N$3,0))))</f>
        <v>0</v>
      </c>
      <c r="E587">
        <v>25</v>
      </c>
      <c r="F587" t="s">
        <v>194</v>
      </c>
    </row>
    <row r="588" spans="1:6" x14ac:dyDescent="0.2">
      <c r="A588" t="str">
        <f t="shared" si="8"/>
        <v>MIX15_30</v>
      </c>
      <c r="B588">
        <f>IF('DGNB LCA Results'!$P$4=4,VLOOKUP(CONCATENATE('DGNB LCA Results'!$M$3,"_",E588), $A$2:$F$550,2,FALSE)*'DGNB LCA Results'!$N$3+
                                                                  VLOOKUP(CONCATENATE('DGNB LCA Results'!$K$3,"_",E588), $A$2:$F$550,2,FALSE)*'DGNB LCA Results'!$L$3+
                                                                  VLOOKUP(CONCATENATE('DGNB LCA Results'!$I$3,"_",E588),$A$2:$F$550,2,FALSE)*'DGNB LCA Results'!$J$3+
                                                                  VLOOKUP(CONCATENATE('DGNB LCA Results'!$G$3,"_",E588), $A$2:$F$550,2,FALSE)*'DGNB LCA Results'!$H$3,
IF('DGNB LCA Results'!$P$4=3,VLOOKUP(CONCATENATE('DGNB LCA Results'!$M$3,"_",E588), $A$2:$F$550,2,FALSE)*'DGNB LCA Results'!$N$3+
                                                                VLOOKUP(CONCATENATE('DGNB LCA Results'!$K$3,"_",E588), $A$2:$F$550,2,FALSE)*'DGNB LCA Results'!$L$3+
                                                                VLOOKUP(CONCATENATE('DGNB LCA Results'!$I$3,"_",E588),$A$2:$F$550,2,FALSE)*'DGNB LCA Results'!$J$3,
IF('DGNB LCA Results'!$P$4=2,VLOOKUP(CONCATENATE('DGNB LCA Results'!$M$3,"_",E588), $A$2:$F$550,2,FALSE)*'DGNB LCA Results'!$N$3+
                                                                 VLOOKUP(CONCATENATE('DGNB LCA Results'!$K$3,"_",E588),$A$2:$F$550,2,FALSE)*'DGNB LCA Results'!$L$3,
IF('DGNB LCA Results'!$P$4=1,VLOOKUP(CONCATENATE('DGNB LCA Results'!$M$3,"_",E588), $A$2:$F$550,2,FALSE)*'DGNB LCA Results'!$N$3,0))))</f>
        <v>0</v>
      </c>
      <c r="C588">
        <f>IF('DGNB LCA Results'!$P$4=4,VLOOKUP(CONCATENATE('DGNB LCA Results'!$M$3,"_",E588), $A$2:$F$550,3,FALSE)*'DGNB LCA Results'!$N$3+
                                                                  VLOOKUP(CONCATENATE('DGNB LCA Results'!$K$3,"_",E588), $A$2:$F$550,3,FALSE)*'DGNB LCA Results'!$L$3+
                                                                  VLOOKUP(CONCATENATE('DGNB LCA Results'!$I$3,"_",E588),$A$2:$F$550,3,FALSE)*'DGNB LCA Results'!$J$3+
                                                                  VLOOKUP(CONCATENATE('DGNB LCA Results'!$G$3,"_",E588), $A$2:$F$550,3,FALSE)*'DGNB LCA Results'!$H$3,
IF('DGNB LCA Results'!$P$4=3,VLOOKUP(CONCATENATE('DGNB LCA Results'!$M$3,"_",E588), $A$2:$F$550,3,FALSE)*'DGNB LCA Results'!$N$3+
                                                                VLOOKUP(CONCATENATE('DGNB LCA Results'!$K$3,"_",E588), $A$2:$F$550,3,FALSE)*'DGNB LCA Results'!$L$3+
                                                                VLOOKUP(CONCATENATE('DGNB LCA Results'!$I$3,"_",E588),$A$2:$F$550,3,FALSE)*'DGNB LCA Results'!$J$3,
IF('DGNB LCA Results'!$P$4=2,VLOOKUP(CONCATENATE('DGNB LCA Results'!$M$3,"_",E588), $A$2:$F$550,3,FALSE)*'DGNB LCA Results'!$N$3+
                                                                 VLOOKUP(CONCATENATE('DGNB LCA Results'!$K$3,"_",E588),$A$2:$F$550,3,FALSE)*'DGNB LCA Results'!$L$3,
IF('DGNB LCA Results'!$P$4=1,VLOOKUP(CONCATENATE('DGNB LCA Results'!$M$3,"_",E588), $A$2:$F$550,3,FALSE)*'DGNB LCA Results'!$N$3,0))))</f>
        <v>0</v>
      </c>
      <c r="D588">
        <f>IF('DGNB LCA Results'!$P$4=4,VLOOKUP(CONCATENATE('DGNB LCA Results'!$M$3,"_",E588), $A$2:$F$550,4,FALSE)*'DGNB LCA Results'!$N$3+
                                                                  VLOOKUP(CONCATENATE('DGNB LCA Results'!$K$3,"_",E588), $A$2:$F$550,4,FALSE)*'DGNB LCA Results'!$L$3+
                                                                  VLOOKUP(CONCATENATE('DGNB LCA Results'!$I$3,"_",E588),$A$2:$F$550,4,FALSE)*'DGNB LCA Results'!$J$3+
                                                                  VLOOKUP(CONCATENATE('DGNB LCA Results'!$G$3,"_",E588), $A$2:$F$550,4,FALSE)*'DGNB LCA Results'!$H$3,
IF('DGNB LCA Results'!$P$4=3,VLOOKUP(CONCATENATE('DGNB LCA Results'!$M$3,"_",E588), $A$2:$F$550,4,FALSE)*'DGNB LCA Results'!$N$3+
                                                                VLOOKUP(CONCATENATE('DGNB LCA Results'!$K$3,"_",E588), $A$2:$F$550,4,FALSE)*'DGNB LCA Results'!$L$3+
                                                                VLOOKUP(CONCATENATE('DGNB LCA Results'!$I$3,"_",E588),$A$2:$F$550,4,FALSE)*'DGNB LCA Results'!$J$3,
IF('DGNB LCA Results'!$P$4=2,VLOOKUP(CONCATENATE('DGNB LCA Results'!$M$3,"_",E588), $A$2:$F$550,4,FALSE)*'DGNB LCA Results'!$N$3+
                                                                 VLOOKUP(CONCATENATE('DGNB LCA Results'!$K$3,"_",E588),$A$2:$F$550,4,FALSE)*'DGNB LCA Results'!$L$3,
IF('DGNB LCA Results'!$P$4=1,VLOOKUP(CONCATENATE('DGNB LCA Results'!$M$3,"_",E588), $A$2:$F$550,4,FALSE)*'DGNB LCA Results'!$N$3,0))))</f>
        <v>0</v>
      </c>
      <c r="E588">
        <v>30</v>
      </c>
      <c r="F588" t="s">
        <v>194</v>
      </c>
    </row>
    <row r="589" spans="1:6" x14ac:dyDescent="0.2">
      <c r="A589" t="str">
        <f t="shared" si="8"/>
        <v>MIX15_35</v>
      </c>
      <c r="B589">
        <f>IF('DGNB LCA Results'!$P$4=4,VLOOKUP(CONCATENATE('DGNB LCA Results'!$M$3,"_",E589), $A$2:$F$550,2,FALSE)*'DGNB LCA Results'!$N$3+
                                                                  VLOOKUP(CONCATENATE('DGNB LCA Results'!$K$3,"_",E589), $A$2:$F$550,2,FALSE)*'DGNB LCA Results'!$L$3+
                                                                  VLOOKUP(CONCATENATE('DGNB LCA Results'!$I$3,"_",E589),$A$2:$F$550,2,FALSE)*'DGNB LCA Results'!$J$3+
                                                                  VLOOKUP(CONCATENATE('DGNB LCA Results'!$G$3,"_",E589), $A$2:$F$550,2,FALSE)*'DGNB LCA Results'!$H$3,
IF('DGNB LCA Results'!$P$4=3,VLOOKUP(CONCATENATE('DGNB LCA Results'!$M$3,"_",E589), $A$2:$F$550,2,FALSE)*'DGNB LCA Results'!$N$3+
                                                                VLOOKUP(CONCATENATE('DGNB LCA Results'!$K$3,"_",E589), $A$2:$F$550,2,FALSE)*'DGNB LCA Results'!$L$3+
                                                                VLOOKUP(CONCATENATE('DGNB LCA Results'!$I$3,"_",E589),$A$2:$F$550,2,FALSE)*'DGNB LCA Results'!$J$3,
IF('DGNB LCA Results'!$P$4=2,VLOOKUP(CONCATENATE('DGNB LCA Results'!$M$3,"_",E589), $A$2:$F$550,2,FALSE)*'DGNB LCA Results'!$N$3+
                                                                 VLOOKUP(CONCATENATE('DGNB LCA Results'!$K$3,"_",E589),$A$2:$F$550,2,FALSE)*'DGNB LCA Results'!$L$3,
IF('DGNB LCA Results'!$P$4=1,VLOOKUP(CONCATENATE('DGNB LCA Results'!$M$3,"_",E589), $A$2:$F$550,2,FALSE)*'DGNB LCA Results'!$N$3,0))))</f>
        <v>0</v>
      </c>
      <c r="C589">
        <f>IF('DGNB LCA Results'!$P$4=4,VLOOKUP(CONCATENATE('DGNB LCA Results'!$M$3,"_",E589), $A$2:$F$550,3,FALSE)*'DGNB LCA Results'!$N$3+
                                                                  VLOOKUP(CONCATENATE('DGNB LCA Results'!$K$3,"_",E589), $A$2:$F$550,3,FALSE)*'DGNB LCA Results'!$L$3+
                                                                  VLOOKUP(CONCATENATE('DGNB LCA Results'!$I$3,"_",E589),$A$2:$F$550,3,FALSE)*'DGNB LCA Results'!$J$3+
                                                                  VLOOKUP(CONCATENATE('DGNB LCA Results'!$G$3,"_",E589), $A$2:$F$550,3,FALSE)*'DGNB LCA Results'!$H$3,
IF('DGNB LCA Results'!$P$4=3,VLOOKUP(CONCATENATE('DGNB LCA Results'!$M$3,"_",E589), $A$2:$F$550,3,FALSE)*'DGNB LCA Results'!$N$3+
                                                                VLOOKUP(CONCATENATE('DGNB LCA Results'!$K$3,"_",E589), $A$2:$F$550,3,FALSE)*'DGNB LCA Results'!$L$3+
                                                                VLOOKUP(CONCATENATE('DGNB LCA Results'!$I$3,"_",E589),$A$2:$F$550,3,FALSE)*'DGNB LCA Results'!$J$3,
IF('DGNB LCA Results'!$P$4=2,VLOOKUP(CONCATENATE('DGNB LCA Results'!$M$3,"_",E589), $A$2:$F$550,3,FALSE)*'DGNB LCA Results'!$N$3+
                                                                 VLOOKUP(CONCATENATE('DGNB LCA Results'!$K$3,"_",E589),$A$2:$F$550,3,FALSE)*'DGNB LCA Results'!$L$3,
IF('DGNB LCA Results'!$P$4=1,VLOOKUP(CONCATENATE('DGNB LCA Results'!$M$3,"_",E589), $A$2:$F$550,3,FALSE)*'DGNB LCA Results'!$N$3,0))))</f>
        <v>0</v>
      </c>
      <c r="D589">
        <f>IF('DGNB LCA Results'!$P$4=4,VLOOKUP(CONCATENATE('DGNB LCA Results'!$M$3,"_",E589), $A$2:$F$550,4,FALSE)*'DGNB LCA Results'!$N$3+
                                                                  VLOOKUP(CONCATENATE('DGNB LCA Results'!$K$3,"_",E589), $A$2:$F$550,4,FALSE)*'DGNB LCA Results'!$L$3+
                                                                  VLOOKUP(CONCATENATE('DGNB LCA Results'!$I$3,"_",E589),$A$2:$F$550,4,FALSE)*'DGNB LCA Results'!$J$3+
                                                                  VLOOKUP(CONCATENATE('DGNB LCA Results'!$G$3,"_",E589), $A$2:$F$550,4,FALSE)*'DGNB LCA Results'!$H$3,
IF('DGNB LCA Results'!$P$4=3,VLOOKUP(CONCATENATE('DGNB LCA Results'!$M$3,"_",E589), $A$2:$F$550,4,FALSE)*'DGNB LCA Results'!$N$3+
                                                                VLOOKUP(CONCATENATE('DGNB LCA Results'!$K$3,"_",E589), $A$2:$F$550,4,FALSE)*'DGNB LCA Results'!$L$3+
                                                                VLOOKUP(CONCATENATE('DGNB LCA Results'!$I$3,"_",E589),$A$2:$F$550,4,FALSE)*'DGNB LCA Results'!$J$3,
IF('DGNB LCA Results'!$P$4=2,VLOOKUP(CONCATENATE('DGNB LCA Results'!$M$3,"_",E589), $A$2:$F$550,4,FALSE)*'DGNB LCA Results'!$N$3+
                                                                 VLOOKUP(CONCATENATE('DGNB LCA Results'!$K$3,"_",E589),$A$2:$F$550,4,FALSE)*'DGNB LCA Results'!$L$3,
IF('DGNB LCA Results'!$P$4=1,VLOOKUP(CONCATENATE('DGNB LCA Results'!$M$3,"_",E589), $A$2:$F$550,4,FALSE)*'DGNB LCA Results'!$N$3,0))))</f>
        <v>0</v>
      </c>
      <c r="E589">
        <v>35</v>
      </c>
      <c r="F589" t="s">
        <v>194</v>
      </c>
    </row>
    <row r="590" spans="1:6" x14ac:dyDescent="0.2">
      <c r="A590" t="str">
        <f t="shared" si="8"/>
        <v>MIX15_40</v>
      </c>
      <c r="B590">
        <f>IF('DGNB LCA Results'!$P$4=4,VLOOKUP(CONCATENATE('DGNB LCA Results'!$M$3,"_",E590), $A$2:$F$550,2,FALSE)*'DGNB LCA Results'!$N$3+
                                                                  VLOOKUP(CONCATENATE('DGNB LCA Results'!$K$3,"_",E590), $A$2:$F$550,2,FALSE)*'DGNB LCA Results'!$L$3+
                                                                  VLOOKUP(CONCATENATE('DGNB LCA Results'!$I$3,"_",E590),$A$2:$F$550,2,FALSE)*'DGNB LCA Results'!$J$3+
                                                                  VLOOKUP(CONCATENATE('DGNB LCA Results'!$G$3,"_",E590), $A$2:$F$550,2,FALSE)*'DGNB LCA Results'!$H$3,
IF('DGNB LCA Results'!$P$4=3,VLOOKUP(CONCATENATE('DGNB LCA Results'!$M$3,"_",E590), $A$2:$F$550,2,FALSE)*'DGNB LCA Results'!$N$3+
                                                                VLOOKUP(CONCATENATE('DGNB LCA Results'!$K$3,"_",E590), $A$2:$F$550,2,FALSE)*'DGNB LCA Results'!$L$3+
                                                                VLOOKUP(CONCATENATE('DGNB LCA Results'!$I$3,"_",E590),$A$2:$F$550,2,FALSE)*'DGNB LCA Results'!$J$3,
IF('DGNB LCA Results'!$P$4=2,VLOOKUP(CONCATENATE('DGNB LCA Results'!$M$3,"_",E590), $A$2:$F$550,2,FALSE)*'DGNB LCA Results'!$N$3+
                                                                 VLOOKUP(CONCATENATE('DGNB LCA Results'!$K$3,"_",E590),$A$2:$F$550,2,FALSE)*'DGNB LCA Results'!$L$3,
IF('DGNB LCA Results'!$P$4=1,VLOOKUP(CONCATENATE('DGNB LCA Results'!$M$3,"_",E590), $A$2:$F$550,2,FALSE)*'DGNB LCA Results'!$N$3,0))))</f>
        <v>0</v>
      </c>
      <c r="C590">
        <f>IF('DGNB LCA Results'!$P$4=4,VLOOKUP(CONCATENATE('DGNB LCA Results'!$M$3,"_",E590), $A$2:$F$550,3,FALSE)*'DGNB LCA Results'!$N$3+
                                                                  VLOOKUP(CONCATENATE('DGNB LCA Results'!$K$3,"_",E590), $A$2:$F$550,3,FALSE)*'DGNB LCA Results'!$L$3+
                                                                  VLOOKUP(CONCATENATE('DGNB LCA Results'!$I$3,"_",E590),$A$2:$F$550,3,FALSE)*'DGNB LCA Results'!$J$3+
                                                                  VLOOKUP(CONCATENATE('DGNB LCA Results'!$G$3,"_",E590), $A$2:$F$550,3,FALSE)*'DGNB LCA Results'!$H$3,
IF('DGNB LCA Results'!$P$4=3,VLOOKUP(CONCATENATE('DGNB LCA Results'!$M$3,"_",E590), $A$2:$F$550,3,FALSE)*'DGNB LCA Results'!$N$3+
                                                                VLOOKUP(CONCATENATE('DGNB LCA Results'!$K$3,"_",E590), $A$2:$F$550,3,FALSE)*'DGNB LCA Results'!$L$3+
                                                                VLOOKUP(CONCATENATE('DGNB LCA Results'!$I$3,"_",E590),$A$2:$F$550,3,FALSE)*'DGNB LCA Results'!$J$3,
IF('DGNB LCA Results'!$P$4=2,VLOOKUP(CONCATENATE('DGNB LCA Results'!$M$3,"_",E590), $A$2:$F$550,3,FALSE)*'DGNB LCA Results'!$N$3+
                                                                 VLOOKUP(CONCATENATE('DGNB LCA Results'!$K$3,"_",E590),$A$2:$F$550,3,FALSE)*'DGNB LCA Results'!$L$3,
IF('DGNB LCA Results'!$P$4=1,VLOOKUP(CONCATENATE('DGNB LCA Results'!$M$3,"_",E590), $A$2:$F$550,3,FALSE)*'DGNB LCA Results'!$N$3,0))))</f>
        <v>0</v>
      </c>
      <c r="D590">
        <f>IF('DGNB LCA Results'!$P$4=4,VLOOKUP(CONCATENATE('DGNB LCA Results'!$M$3,"_",E590), $A$2:$F$550,4,FALSE)*'DGNB LCA Results'!$N$3+
                                                                  VLOOKUP(CONCATENATE('DGNB LCA Results'!$K$3,"_",E590), $A$2:$F$550,4,FALSE)*'DGNB LCA Results'!$L$3+
                                                                  VLOOKUP(CONCATENATE('DGNB LCA Results'!$I$3,"_",E590),$A$2:$F$550,4,FALSE)*'DGNB LCA Results'!$J$3+
                                                                  VLOOKUP(CONCATENATE('DGNB LCA Results'!$G$3,"_",E590), $A$2:$F$550,4,FALSE)*'DGNB LCA Results'!$H$3,
IF('DGNB LCA Results'!$P$4=3,VLOOKUP(CONCATENATE('DGNB LCA Results'!$M$3,"_",E590), $A$2:$F$550,4,FALSE)*'DGNB LCA Results'!$N$3+
                                                                VLOOKUP(CONCATENATE('DGNB LCA Results'!$K$3,"_",E590), $A$2:$F$550,4,FALSE)*'DGNB LCA Results'!$L$3+
                                                                VLOOKUP(CONCATENATE('DGNB LCA Results'!$I$3,"_",E590),$A$2:$F$550,4,FALSE)*'DGNB LCA Results'!$J$3,
IF('DGNB LCA Results'!$P$4=2,VLOOKUP(CONCATENATE('DGNB LCA Results'!$M$3,"_",E590), $A$2:$F$550,4,FALSE)*'DGNB LCA Results'!$N$3+
                                                                 VLOOKUP(CONCATENATE('DGNB LCA Results'!$K$3,"_",E590),$A$2:$F$550,4,FALSE)*'DGNB LCA Results'!$L$3,
IF('DGNB LCA Results'!$P$4=1,VLOOKUP(CONCATENATE('DGNB LCA Results'!$M$3,"_",E590), $A$2:$F$550,4,FALSE)*'DGNB LCA Results'!$N$3,0))))</f>
        <v>0</v>
      </c>
      <c r="E590">
        <v>40</v>
      </c>
      <c r="F590" t="s">
        <v>194</v>
      </c>
    </row>
    <row r="591" spans="1:6" x14ac:dyDescent="0.2">
      <c r="A591" t="str">
        <f t="shared" si="8"/>
        <v>MIX15_45</v>
      </c>
      <c r="B591">
        <f>IF('DGNB LCA Results'!$P$4=4,VLOOKUP(CONCATENATE('DGNB LCA Results'!$M$3,"_",E591), $A$2:$F$550,2,FALSE)*'DGNB LCA Results'!$N$3+
                                                                  VLOOKUP(CONCATENATE('DGNB LCA Results'!$K$3,"_",E591), $A$2:$F$550,2,FALSE)*'DGNB LCA Results'!$L$3+
                                                                  VLOOKUP(CONCATENATE('DGNB LCA Results'!$I$3,"_",E591),$A$2:$F$550,2,FALSE)*'DGNB LCA Results'!$J$3+
                                                                  VLOOKUP(CONCATENATE('DGNB LCA Results'!$G$3,"_",E591), $A$2:$F$550,2,FALSE)*'DGNB LCA Results'!$H$3,
IF('DGNB LCA Results'!$P$4=3,VLOOKUP(CONCATENATE('DGNB LCA Results'!$M$3,"_",E591), $A$2:$F$550,2,FALSE)*'DGNB LCA Results'!$N$3+
                                                                VLOOKUP(CONCATENATE('DGNB LCA Results'!$K$3,"_",E591), $A$2:$F$550,2,FALSE)*'DGNB LCA Results'!$L$3+
                                                                VLOOKUP(CONCATENATE('DGNB LCA Results'!$I$3,"_",E591),$A$2:$F$550,2,FALSE)*'DGNB LCA Results'!$J$3,
IF('DGNB LCA Results'!$P$4=2,VLOOKUP(CONCATENATE('DGNB LCA Results'!$M$3,"_",E591), $A$2:$F$550,2,FALSE)*'DGNB LCA Results'!$N$3+
                                                                 VLOOKUP(CONCATENATE('DGNB LCA Results'!$K$3,"_",E591),$A$2:$F$550,2,FALSE)*'DGNB LCA Results'!$L$3,
IF('DGNB LCA Results'!$P$4=1,VLOOKUP(CONCATENATE('DGNB LCA Results'!$M$3,"_",E591), $A$2:$F$550,2,FALSE)*'DGNB LCA Results'!$N$3,0))))</f>
        <v>0</v>
      </c>
      <c r="C591">
        <f>IF('DGNB LCA Results'!$P$4=4,VLOOKUP(CONCATENATE('DGNB LCA Results'!$M$3,"_",E591), $A$2:$F$550,3,FALSE)*'DGNB LCA Results'!$N$3+
                                                                  VLOOKUP(CONCATENATE('DGNB LCA Results'!$K$3,"_",E591), $A$2:$F$550,3,FALSE)*'DGNB LCA Results'!$L$3+
                                                                  VLOOKUP(CONCATENATE('DGNB LCA Results'!$I$3,"_",E591),$A$2:$F$550,3,FALSE)*'DGNB LCA Results'!$J$3+
                                                                  VLOOKUP(CONCATENATE('DGNB LCA Results'!$G$3,"_",E591), $A$2:$F$550,3,FALSE)*'DGNB LCA Results'!$H$3,
IF('DGNB LCA Results'!$P$4=3,VLOOKUP(CONCATENATE('DGNB LCA Results'!$M$3,"_",E591), $A$2:$F$550,3,FALSE)*'DGNB LCA Results'!$N$3+
                                                                VLOOKUP(CONCATENATE('DGNB LCA Results'!$K$3,"_",E591), $A$2:$F$550,3,FALSE)*'DGNB LCA Results'!$L$3+
                                                                VLOOKUP(CONCATENATE('DGNB LCA Results'!$I$3,"_",E591),$A$2:$F$550,3,FALSE)*'DGNB LCA Results'!$J$3,
IF('DGNB LCA Results'!$P$4=2,VLOOKUP(CONCATENATE('DGNB LCA Results'!$M$3,"_",E591), $A$2:$F$550,3,FALSE)*'DGNB LCA Results'!$N$3+
                                                                 VLOOKUP(CONCATENATE('DGNB LCA Results'!$K$3,"_",E591),$A$2:$F$550,3,FALSE)*'DGNB LCA Results'!$L$3,
IF('DGNB LCA Results'!$P$4=1,VLOOKUP(CONCATENATE('DGNB LCA Results'!$M$3,"_",E591), $A$2:$F$550,3,FALSE)*'DGNB LCA Results'!$N$3,0))))</f>
        <v>0</v>
      </c>
      <c r="D591">
        <f>IF('DGNB LCA Results'!$P$4=4,VLOOKUP(CONCATENATE('DGNB LCA Results'!$M$3,"_",E591), $A$2:$F$550,4,FALSE)*'DGNB LCA Results'!$N$3+
                                                                  VLOOKUP(CONCATENATE('DGNB LCA Results'!$K$3,"_",E591), $A$2:$F$550,4,FALSE)*'DGNB LCA Results'!$L$3+
                                                                  VLOOKUP(CONCATENATE('DGNB LCA Results'!$I$3,"_",E591),$A$2:$F$550,4,FALSE)*'DGNB LCA Results'!$J$3+
                                                                  VLOOKUP(CONCATENATE('DGNB LCA Results'!$G$3,"_",E591), $A$2:$F$550,4,FALSE)*'DGNB LCA Results'!$H$3,
IF('DGNB LCA Results'!$P$4=3,VLOOKUP(CONCATENATE('DGNB LCA Results'!$M$3,"_",E591), $A$2:$F$550,4,FALSE)*'DGNB LCA Results'!$N$3+
                                                                VLOOKUP(CONCATENATE('DGNB LCA Results'!$K$3,"_",E591), $A$2:$F$550,4,FALSE)*'DGNB LCA Results'!$L$3+
                                                                VLOOKUP(CONCATENATE('DGNB LCA Results'!$I$3,"_",E591),$A$2:$F$550,4,FALSE)*'DGNB LCA Results'!$J$3,
IF('DGNB LCA Results'!$P$4=2,VLOOKUP(CONCATENATE('DGNB LCA Results'!$M$3,"_",E591), $A$2:$F$550,4,FALSE)*'DGNB LCA Results'!$N$3+
                                                                 VLOOKUP(CONCATENATE('DGNB LCA Results'!$K$3,"_",E591),$A$2:$F$550,4,FALSE)*'DGNB LCA Results'!$L$3,
IF('DGNB LCA Results'!$P$4=1,VLOOKUP(CONCATENATE('DGNB LCA Results'!$M$3,"_",E591), $A$2:$F$550,4,FALSE)*'DGNB LCA Results'!$N$3,0))))</f>
        <v>0</v>
      </c>
      <c r="E591">
        <v>45</v>
      </c>
      <c r="F591" t="s">
        <v>194</v>
      </c>
    </row>
    <row r="592" spans="1:6" x14ac:dyDescent="0.2">
      <c r="A592" t="str">
        <f t="shared" si="8"/>
        <v>MIX15_50</v>
      </c>
      <c r="B592">
        <f>IF('DGNB LCA Results'!$P$4=4,VLOOKUP(CONCATENATE('DGNB LCA Results'!$M$3,"_",E592), $A$2:$F$550,2,FALSE)*'DGNB LCA Results'!$N$3+
                                                                  VLOOKUP(CONCATENATE('DGNB LCA Results'!$K$3,"_",E592), $A$2:$F$550,2,FALSE)*'DGNB LCA Results'!$L$3+
                                                                  VLOOKUP(CONCATENATE('DGNB LCA Results'!$I$3,"_",E592),$A$2:$F$550,2,FALSE)*'DGNB LCA Results'!$J$3+
                                                                  VLOOKUP(CONCATENATE('DGNB LCA Results'!$G$3,"_",E592), $A$2:$F$550,2,FALSE)*'DGNB LCA Results'!$H$3,
IF('DGNB LCA Results'!$P$4=3,VLOOKUP(CONCATENATE('DGNB LCA Results'!$M$3,"_",E592), $A$2:$F$550,2,FALSE)*'DGNB LCA Results'!$N$3+
                                                                VLOOKUP(CONCATENATE('DGNB LCA Results'!$K$3,"_",E592), $A$2:$F$550,2,FALSE)*'DGNB LCA Results'!$L$3+
                                                                VLOOKUP(CONCATENATE('DGNB LCA Results'!$I$3,"_",E592),$A$2:$F$550,2,FALSE)*'DGNB LCA Results'!$J$3,
IF('DGNB LCA Results'!$P$4=2,VLOOKUP(CONCATENATE('DGNB LCA Results'!$M$3,"_",E592), $A$2:$F$550,2,FALSE)*'DGNB LCA Results'!$N$3+
                                                                 VLOOKUP(CONCATENATE('DGNB LCA Results'!$K$3,"_",E592),$A$2:$F$550,2,FALSE)*'DGNB LCA Results'!$L$3,
IF('DGNB LCA Results'!$P$4=1,VLOOKUP(CONCATENATE('DGNB LCA Results'!$M$3,"_",E592), $A$2:$F$550,2,FALSE)*'DGNB LCA Results'!$N$3,0))))</f>
        <v>0</v>
      </c>
      <c r="C592">
        <f>IF('DGNB LCA Results'!$P$4=4,VLOOKUP(CONCATENATE('DGNB LCA Results'!$M$3,"_",E592), $A$2:$F$550,3,FALSE)*'DGNB LCA Results'!$N$3+
                                                                  VLOOKUP(CONCATENATE('DGNB LCA Results'!$K$3,"_",E592), $A$2:$F$550,3,FALSE)*'DGNB LCA Results'!$L$3+
                                                                  VLOOKUP(CONCATENATE('DGNB LCA Results'!$I$3,"_",E592),$A$2:$F$550,3,FALSE)*'DGNB LCA Results'!$J$3+
                                                                  VLOOKUP(CONCATENATE('DGNB LCA Results'!$G$3,"_",E592), $A$2:$F$550,3,FALSE)*'DGNB LCA Results'!$H$3,
IF('DGNB LCA Results'!$P$4=3,VLOOKUP(CONCATENATE('DGNB LCA Results'!$M$3,"_",E592), $A$2:$F$550,3,FALSE)*'DGNB LCA Results'!$N$3+
                                                                VLOOKUP(CONCATENATE('DGNB LCA Results'!$K$3,"_",E592), $A$2:$F$550,3,FALSE)*'DGNB LCA Results'!$L$3+
                                                                VLOOKUP(CONCATENATE('DGNB LCA Results'!$I$3,"_",E592),$A$2:$F$550,3,FALSE)*'DGNB LCA Results'!$J$3,
IF('DGNB LCA Results'!$P$4=2,VLOOKUP(CONCATENATE('DGNB LCA Results'!$M$3,"_",E592), $A$2:$F$550,3,FALSE)*'DGNB LCA Results'!$N$3+
                                                                 VLOOKUP(CONCATENATE('DGNB LCA Results'!$K$3,"_",E592),$A$2:$F$550,3,FALSE)*'DGNB LCA Results'!$L$3,
IF('DGNB LCA Results'!$P$4=1,VLOOKUP(CONCATENATE('DGNB LCA Results'!$M$3,"_",E592), $A$2:$F$550,3,FALSE)*'DGNB LCA Results'!$N$3,0))))</f>
        <v>0</v>
      </c>
      <c r="D592">
        <f>IF('DGNB LCA Results'!$P$4=4,VLOOKUP(CONCATENATE('DGNB LCA Results'!$M$3,"_",E592), $A$2:$F$550,4,FALSE)*'DGNB LCA Results'!$N$3+
                                                                  VLOOKUP(CONCATENATE('DGNB LCA Results'!$K$3,"_",E592), $A$2:$F$550,4,FALSE)*'DGNB LCA Results'!$L$3+
                                                                  VLOOKUP(CONCATENATE('DGNB LCA Results'!$I$3,"_",E592),$A$2:$F$550,4,FALSE)*'DGNB LCA Results'!$J$3+
                                                                  VLOOKUP(CONCATENATE('DGNB LCA Results'!$G$3,"_",E592), $A$2:$F$550,4,FALSE)*'DGNB LCA Results'!$H$3,
IF('DGNB LCA Results'!$P$4=3,VLOOKUP(CONCATENATE('DGNB LCA Results'!$M$3,"_",E592), $A$2:$F$550,4,FALSE)*'DGNB LCA Results'!$N$3+
                                                                VLOOKUP(CONCATENATE('DGNB LCA Results'!$K$3,"_",E592), $A$2:$F$550,4,FALSE)*'DGNB LCA Results'!$L$3+
                                                                VLOOKUP(CONCATENATE('DGNB LCA Results'!$I$3,"_",E592),$A$2:$F$550,4,FALSE)*'DGNB LCA Results'!$J$3,
IF('DGNB LCA Results'!$P$4=2,VLOOKUP(CONCATENATE('DGNB LCA Results'!$M$3,"_",E592), $A$2:$F$550,4,FALSE)*'DGNB LCA Results'!$N$3+
                                                                 VLOOKUP(CONCATENATE('DGNB LCA Results'!$K$3,"_",E592),$A$2:$F$550,4,FALSE)*'DGNB LCA Results'!$L$3,
IF('DGNB LCA Results'!$P$4=1,VLOOKUP(CONCATENATE('DGNB LCA Results'!$M$3,"_",E592), $A$2:$F$550,4,FALSE)*'DGNB LCA Results'!$N$3,0))))</f>
        <v>0</v>
      </c>
      <c r="E592">
        <v>50</v>
      </c>
      <c r="F592" t="s">
        <v>194</v>
      </c>
    </row>
    <row r="593" spans="1:6" x14ac:dyDescent="0.2">
      <c r="A593" t="str">
        <f t="shared" si="8"/>
        <v>MIX15_55</v>
      </c>
      <c r="B593">
        <f>IF('DGNB LCA Results'!$P$4=4,VLOOKUP(CONCATENATE('DGNB LCA Results'!$M$3,"_",E593), $A$2:$F$550,2,FALSE)*'DGNB LCA Results'!$N$3+
                                                                  VLOOKUP(CONCATENATE('DGNB LCA Results'!$K$3,"_",E593), $A$2:$F$550,2,FALSE)*'DGNB LCA Results'!$L$3+
                                                                  VLOOKUP(CONCATENATE('DGNB LCA Results'!$I$3,"_",E593),$A$2:$F$550,2,FALSE)*'DGNB LCA Results'!$J$3+
                                                                  VLOOKUP(CONCATENATE('DGNB LCA Results'!$G$3,"_",E593), $A$2:$F$550,2,FALSE)*'DGNB LCA Results'!$H$3,
IF('DGNB LCA Results'!$P$4=3,VLOOKUP(CONCATENATE('DGNB LCA Results'!$M$3,"_",E593), $A$2:$F$550,2,FALSE)*'DGNB LCA Results'!$N$3+
                                                                VLOOKUP(CONCATENATE('DGNB LCA Results'!$K$3,"_",E593), $A$2:$F$550,2,FALSE)*'DGNB LCA Results'!$L$3+
                                                                VLOOKUP(CONCATENATE('DGNB LCA Results'!$I$3,"_",E593),$A$2:$F$550,2,FALSE)*'DGNB LCA Results'!$J$3,
IF('DGNB LCA Results'!$P$4=2,VLOOKUP(CONCATENATE('DGNB LCA Results'!$M$3,"_",E593), $A$2:$F$550,2,FALSE)*'DGNB LCA Results'!$N$3+
                                                                 VLOOKUP(CONCATENATE('DGNB LCA Results'!$K$3,"_",E593),$A$2:$F$550,2,FALSE)*'DGNB LCA Results'!$L$3,
IF('DGNB LCA Results'!$P$4=1,VLOOKUP(CONCATENATE('DGNB LCA Results'!$M$3,"_",E593), $A$2:$F$550,2,FALSE)*'DGNB LCA Results'!$N$3,0))))</f>
        <v>0</v>
      </c>
      <c r="C593">
        <f>IF('DGNB LCA Results'!$P$4=4,VLOOKUP(CONCATENATE('DGNB LCA Results'!$M$3,"_",E593), $A$2:$F$550,3,FALSE)*'DGNB LCA Results'!$N$3+
                                                                  VLOOKUP(CONCATENATE('DGNB LCA Results'!$K$3,"_",E593), $A$2:$F$550,3,FALSE)*'DGNB LCA Results'!$L$3+
                                                                  VLOOKUP(CONCATENATE('DGNB LCA Results'!$I$3,"_",E593),$A$2:$F$550,3,FALSE)*'DGNB LCA Results'!$J$3+
                                                                  VLOOKUP(CONCATENATE('DGNB LCA Results'!$G$3,"_",E593), $A$2:$F$550,3,FALSE)*'DGNB LCA Results'!$H$3,
IF('DGNB LCA Results'!$P$4=3,VLOOKUP(CONCATENATE('DGNB LCA Results'!$M$3,"_",E593), $A$2:$F$550,3,FALSE)*'DGNB LCA Results'!$N$3+
                                                                VLOOKUP(CONCATENATE('DGNB LCA Results'!$K$3,"_",E593), $A$2:$F$550,3,FALSE)*'DGNB LCA Results'!$L$3+
                                                                VLOOKUP(CONCATENATE('DGNB LCA Results'!$I$3,"_",E593),$A$2:$F$550,3,FALSE)*'DGNB LCA Results'!$J$3,
IF('DGNB LCA Results'!$P$4=2,VLOOKUP(CONCATENATE('DGNB LCA Results'!$M$3,"_",E593), $A$2:$F$550,3,FALSE)*'DGNB LCA Results'!$N$3+
                                                                 VLOOKUP(CONCATENATE('DGNB LCA Results'!$K$3,"_",E593),$A$2:$F$550,3,FALSE)*'DGNB LCA Results'!$L$3,
IF('DGNB LCA Results'!$P$4=1,VLOOKUP(CONCATENATE('DGNB LCA Results'!$M$3,"_",E593), $A$2:$F$550,3,FALSE)*'DGNB LCA Results'!$N$3,0))))</f>
        <v>0</v>
      </c>
      <c r="D593">
        <f>IF('DGNB LCA Results'!$P$4=4,VLOOKUP(CONCATENATE('DGNB LCA Results'!$M$3,"_",E593), $A$2:$F$550,4,FALSE)*'DGNB LCA Results'!$N$3+
                                                                  VLOOKUP(CONCATENATE('DGNB LCA Results'!$K$3,"_",E593), $A$2:$F$550,4,FALSE)*'DGNB LCA Results'!$L$3+
                                                                  VLOOKUP(CONCATENATE('DGNB LCA Results'!$I$3,"_",E593),$A$2:$F$550,4,FALSE)*'DGNB LCA Results'!$J$3+
                                                                  VLOOKUP(CONCATENATE('DGNB LCA Results'!$G$3,"_",E593), $A$2:$F$550,4,FALSE)*'DGNB LCA Results'!$H$3,
IF('DGNB LCA Results'!$P$4=3,VLOOKUP(CONCATENATE('DGNB LCA Results'!$M$3,"_",E593), $A$2:$F$550,4,FALSE)*'DGNB LCA Results'!$N$3+
                                                                VLOOKUP(CONCATENATE('DGNB LCA Results'!$K$3,"_",E593), $A$2:$F$550,4,FALSE)*'DGNB LCA Results'!$L$3+
                                                                VLOOKUP(CONCATENATE('DGNB LCA Results'!$I$3,"_",E593),$A$2:$F$550,4,FALSE)*'DGNB LCA Results'!$J$3,
IF('DGNB LCA Results'!$P$4=2,VLOOKUP(CONCATENATE('DGNB LCA Results'!$M$3,"_",E593), $A$2:$F$550,4,FALSE)*'DGNB LCA Results'!$N$3+
                                                                 VLOOKUP(CONCATENATE('DGNB LCA Results'!$K$3,"_",E593),$A$2:$F$550,4,FALSE)*'DGNB LCA Results'!$L$3,
IF('DGNB LCA Results'!$P$4=1,VLOOKUP(CONCATENATE('DGNB LCA Results'!$M$3,"_",E593), $A$2:$F$550,4,FALSE)*'DGNB LCA Results'!$N$3,0))))</f>
        <v>0</v>
      </c>
      <c r="E593">
        <v>55</v>
      </c>
      <c r="F593" t="s">
        <v>194</v>
      </c>
    </row>
    <row r="594" spans="1:6" x14ac:dyDescent="0.2">
      <c r="A594" t="str">
        <f t="shared" si="8"/>
        <v>MIX15_60</v>
      </c>
      <c r="B594">
        <f>IF('DGNB LCA Results'!$P$4=4,VLOOKUP(CONCATENATE('DGNB LCA Results'!$M$3,"_",E594), $A$2:$F$550,2,FALSE)*'DGNB LCA Results'!$N$3+
                                                                  VLOOKUP(CONCATENATE('DGNB LCA Results'!$K$3,"_",E594), $A$2:$F$550,2,FALSE)*'DGNB LCA Results'!$L$3+
                                                                  VLOOKUP(CONCATENATE('DGNB LCA Results'!$I$3,"_",E594),$A$2:$F$550,2,FALSE)*'DGNB LCA Results'!$J$3+
                                                                  VLOOKUP(CONCATENATE('DGNB LCA Results'!$G$3,"_",E594), $A$2:$F$550,2,FALSE)*'DGNB LCA Results'!$H$3,
IF('DGNB LCA Results'!$P$4=3,VLOOKUP(CONCATENATE('DGNB LCA Results'!$M$3,"_",E594), $A$2:$F$550,2,FALSE)*'DGNB LCA Results'!$N$3+
                                                                VLOOKUP(CONCATENATE('DGNB LCA Results'!$K$3,"_",E594), $A$2:$F$550,2,FALSE)*'DGNB LCA Results'!$L$3+
                                                                VLOOKUP(CONCATENATE('DGNB LCA Results'!$I$3,"_",E594),$A$2:$F$550,2,FALSE)*'DGNB LCA Results'!$J$3,
IF('DGNB LCA Results'!$P$4=2,VLOOKUP(CONCATENATE('DGNB LCA Results'!$M$3,"_",E594), $A$2:$F$550,2,FALSE)*'DGNB LCA Results'!$N$3+
                                                                 VLOOKUP(CONCATENATE('DGNB LCA Results'!$K$3,"_",E594),$A$2:$F$550,2,FALSE)*'DGNB LCA Results'!$L$3,
IF('DGNB LCA Results'!$P$4=1,VLOOKUP(CONCATENATE('DGNB LCA Results'!$M$3,"_",E594), $A$2:$F$550,2,FALSE)*'DGNB LCA Results'!$N$3,0))))</f>
        <v>0</v>
      </c>
      <c r="C594">
        <f>IF('DGNB LCA Results'!$P$4=4,VLOOKUP(CONCATENATE('DGNB LCA Results'!$M$3,"_",E594), $A$2:$F$550,3,FALSE)*'DGNB LCA Results'!$N$3+
                                                                  VLOOKUP(CONCATENATE('DGNB LCA Results'!$K$3,"_",E594), $A$2:$F$550,3,FALSE)*'DGNB LCA Results'!$L$3+
                                                                  VLOOKUP(CONCATENATE('DGNB LCA Results'!$I$3,"_",E594),$A$2:$F$550,3,FALSE)*'DGNB LCA Results'!$J$3+
                                                                  VLOOKUP(CONCATENATE('DGNB LCA Results'!$G$3,"_",E594), $A$2:$F$550,3,FALSE)*'DGNB LCA Results'!$H$3,
IF('DGNB LCA Results'!$P$4=3,VLOOKUP(CONCATENATE('DGNB LCA Results'!$M$3,"_",E594), $A$2:$F$550,3,FALSE)*'DGNB LCA Results'!$N$3+
                                                                VLOOKUP(CONCATENATE('DGNB LCA Results'!$K$3,"_",E594), $A$2:$F$550,3,FALSE)*'DGNB LCA Results'!$L$3+
                                                                VLOOKUP(CONCATENATE('DGNB LCA Results'!$I$3,"_",E594),$A$2:$F$550,3,FALSE)*'DGNB LCA Results'!$J$3,
IF('DGNB LCA Results'!$P$4=2,VLOOKUP(CONCATENATE('DGNB LCA Results'!$M$3,"_",E594), $A$2:$F$550,3,FALSE)*'DGNB LCA Results'!$N$3+
                                                                 VLOOKUP(CONCATENATE('DGNB LCA Results'!$K$3,"_",E594),$A$2:$F$550,3,FALSE)*'DGNB LCA Results'!$L$3,
IF('DGNB LCA Results'!$P$4=1,VLOOKUP(CONCATENATE('DGNB LCA Results'!$M$3,"_",E594), $A$2:$F$550,3,FALSE)*'DGNB LCA Results'!$N$3,0))))</f>
        <v>0</v>
      </c>
      <c r="D594">
        <f>IF('DGNB LCA Results'!$P$4=4,VLOOKUP(CONCATENATE('DGNB LCA Results'!$M$3,"_",E594), $A$2:$F$550,4,FALSE)*'DGNB LCA Results'!$N$3+
                                                                  VLOOKUP(CONCATENATE('DGNB LCA Results'!$K$3,"_",E594), $A$2:$F$550,4,FALSE)*'DGNB LCA Results'!$L$3+
                                                                  VLOOKUP(CONCATENATE('DGNB LCA Results'!$I$3,"_",E594),$A$2:$F$550,4,FALSE)*'DGNB LCA Results'!$J$3+
                                                                  VLOOKUP(CONCATENATE('DGNB LCA Results'!$G$3,"_",E594), $A$2:$F$550,4,FALSE)*'DGNB LCA Results'!$H$3,
IF('DGNB LCA Results'!$P$4=3,VLOOKUP(CONCATENATE('DGNB LCA Results'!$M$3,"_",E594), $A$2:$F$550,4,FALSE)*'DGNB LCA Results'!$N$3+
                                                                VLOOKUP(CONCATENATE('DGNB LCA Results'!$K$3,"_",E594), $A$2:$F$550,4,FALSE)*'DGNB LCA Results'!$L$3+
                                                                VLOOKUP(CONCATENATE('DGNB LCA Results'!$I$3,"_",E594),$A$2:$F$550,4,FALSE)*'DGNB LCA Results'!$J$3,
IF('DGNB LCA Results'!$P$4=2,VLOOKUP(CONCATENATE('DGNB LCA Results'!$M$3,"_",E594), $A$2:$F$550,4,FALSE)*'DGNB LCA Results'!$N$3+
                                                                 VLOOKUP(CONCATENATE('DGNB LCA Results'!$K$3,"_",E594),$A$2:$F$550,4,FALSE)*'DGNB LCA Results'!$L$3,
IF('DGNB LCA Results'!$P$4=1,VLOOKUP(CONCATENATE('DGNB LCA Results'!$M$3,"_",E594), $A$2:$F$550,4,FALSE)*'DGNB LCA Results'!$N$3,0))))</f>
        <v>0</v>
      </c>
      <c r="E594">
        <v>60</v>
      </c>
      <c r="F594" t="s">
        <v>194</v>
      </c>
    </row>
    <row r="595" spans="1:6" x14ac:dyDescent="0.2">
      <c r="A595" t="str">
        <f t="shared" si="8"/>
        <v>MIX15_65</v>
      </c>
      <c r="B595">
        <f>IF('DGNB LCA Results'!$P$4=4,VLOOKUP(CONCATENATE('DGNB LCA Results'!$M$3,"_",E595), $A$2:$F$550,2,FALSE)*'DGNB LCA Results'!$N$3+
                                                                  VLOOKUP(CONCATENATE('DGNB LCA Results'!$K$3,"_",E595), $A$2:$F$550,2,FALSE)*'DGNB LCA Results'!$L$3+
                                                                  VLOOKUP(CONCATENATE('DGNB LCA Results'!$I$3,"_",E595),$A$2:$F$550,2,FALSE)*'DGNB LCA Results'!$J$3+
                                                                  VLOOKUP(CONCATENATE('DGNB LCA Results'!$G$3,"_",E595), $A$2:$F$550,2,FALSE)*'DGNB LCA Results'!$H$3,
IF('DGNB LCA Results'!$P$4=3,VLOOKUP(CONCATENATE('DGNB LCA Results'!$M$3,"_",E595), $A$2:$F$550,2,FALSE)*'DGNB LCA Results'!$N$3+
                                                                VLOOKUP(CONCATENATE('DGNB LCA Results'!$K$3,"_",E595), $A$2:$F$550,2,FALSE)*'DGNB LCA Results'!$L$3+
                                                                VLOOKUP(CONCATENATE('DGNB LCA Results'!$I$3,"_",E595),$A$2:$F$550,2,FALSE)*'DGNB LCA Results'!$J$3,
IF('DGNB LCA Results'!$P$4=2,VLOOKUP(CONCATENATE('DGNB LCA Results'!$M$3,"_",E595), $A$2:$F$550,2,FALSE)*'DGNB LCA Results'!$N$3+
                                                                 VLOOKUP(CONCATENATE('DGNB LCA Results'!$K$3,"_",E595),$A$2:$F$550,2,FALSE)*'DGNB LCA Results'!$L$3,
IF('DGNB LCA Results'!$P$4=1,VLOOKUP(CONCATENATE('DGNB LCA Results'!$M$3,"_",E595), $A$2:$F$550,2,FALSE)*'DGNB LCA Results'!$N$3,0))))</f>
        <v>0</v>
      </c>
      <c r="C595">
        <f>IF('DGNB LCA Results'!$P$4=4,VLOOKUP(CONCATENATE('DGNB LCA Results'!$M$3,"_",E595), $A$2:$F$550,3,FALSE)*'DGNB LCA Results'!$N$3+
                                                                  VLOOKUP(CONCATENATE('DGNB LCA Results'!$K$3,"_",E595), $A$2:$F$550,3,FALSE)*'DGNB LCA Results'!$L$3+
                                                                  VLOOKUP(CONCATENATE('DGNB LCA Results'!$I$3,"_",E595),$A$2:$F$550,3,FALSE)*'DGNB LCA Results'!$J$3+
                                                                  VLOOKUP(CONCATENATE('DGNB LCA Results'!$G$3,"_",E595), $A$2:$F$550,3,FALSE)*'DGNB LCA Results'!$H$3,
IF('DGNB LCA Results'!$P$4=3,VLOOKUP(CONCATENATE('DGNB LCA Results'!$M$3,"_",E595), $A$2:$F$550,3,FALSE)*'DGNB LCA Results'!$N$3+
                                                                VLOOKUP(CONCATENATE('DGNB LCA Results'!$K$3,"_",E595), $A$2:$F$550,3,FALSE)*'DGNB LCA Results'!$L$3+
                                                                VLOOKUP(CONCATENATE('DGNB LCA Results'!$I$3,"_",E595),$A$2:$F$550,3,FALSE)*'DGNB LCA Results'!$J$3,
IF('DGNB LCA Results'!$P$4=2,VLOOKUP(CONCATENATE('DGNB LCA Results'!$M$3,"_",E595), $A$2:$F$550,3,FALSE)*'DGNB LCA Results'!$N$3+
                                                                 VLOOKUP(CONCATENATE('DGNB LCA Results'!$K$3,"_",E595),$A$2:$F$550,3,FALSE)*'DGNB LCA Results'!$L$3,
IF('DGNB LCA Results'!$P$4=1,VLOOKUP(CONCATENATE('DGNB LCA Results'!$M$3,"_",E595), $A$2:$F$550,3,FALSE)*'DGNB LCA Results'!$N$3,0))))</f>
        <v>0</v>
      </c>
      <c r="D595">
        <f>IF('DGNB LCA Results'!$P$4=4,VLOOKUP(CONCATENATE('DGNB LCA Results'!$M$3,"_",E595), $A$2:$F$550,4,FALSE)*'DGNB LCA Results'!$N$3+
                                                                  VLOOKUP(CONCATENATE('DGNB LCA Results'!$K$3,"_",E595), $A$2:$F$550,4,FALSE)*'DGNB LCA Results'!$L$3+
                                                                  VLOOKUP(CONCATENATE('DGNB LCA Results'!$I$3,"_",E595),$A$2:$F$550,4,FALSE)*'DGNB LCA Results'!$J$3+
                                                                  VLOOKUP(CONCATENATE('DGNB LCA Results'!$G$3,"_",E595), $A$2:$F$550,4,FALSE)*'DGNB LCA Results'!$H$3,
IF('DGNB LCA Results'!$P$4=3,VLOOKUP(CONCATENATE('DGNB LCA Results'!$M$3,"_",E595), $A$2:$F$550,4,FALSE)*'DGNB LCA Results'!$N$3+
                                                                VLOOKUP(CONCATENATE('DGNB LCA Results'!$K$3,"_",E595), $A$2:$F$550,4,FALSE)*'DGNB LCA Results'!$L$3+
                                                                VLOOKUP(CONCATENATE('DGNB LCA Results'!$I$3,"_",E595),$A$2:$F$550,4,FALSE)*'DGNB LCA Results'!$J$3,
IF('DGNB LCA Results'!$P$4=2,VLOOKUP(CONCATENATE('DGNB LCA Results'!$M$3,"_",E595), $A$2:$F$550,4,FALSE)*'DGNB LCA Results'!$N$3+
                                                                 VLOOKUP(CONCATENATE('DGNB LCA Results'!$K$3,"_",E595),$A$2:$F$550,4,FALSE)*'DGNB LCA Results'!$L$3,
IF('DGNB LCA Results'!$P$4=1,VLOOKUP(CONCATENATE('DGNB LCA Results'!$M$3,"_",E595), $A$2:$F$550,4,FALSE)*'DGNB LCA Results'!$N$3,0))))</f>
        <v>0</v>
      </c>
      <c r="E595">
        <v>65</v>
      </c>
      <c r="F595" t="s">
        <v>194</v>
      </c>
    </row>
    <row r="596" spans="1:6" x14ac:dyDescent="0.2">
      <c r="A596" t="str">
        <f t="shared" si="8"/>
        <v>MIX15_70</v>
      </c>
      <c r="B596">
        <f>IF('DGNB LCA Results'!$P$4=4,VLOOKUP(CONCATENATE('DGNB LCA Results'!$M$3,"_",E596), $A$2:$F$550,2,FALSE)*'DGNB LCA Results'!$N$3+
                                                                  VLOOKUP(CONCATENATE('DGNB LCA Results'!$K$3,"_",E596), $A$2:$F$550,2,FALSE)*'DGNB LCA Results'!$L$3+
                                                                  VLOOKUP(CONCATENATE('DGNB LCA Results'!$I$3,"_",E596),$A$2:$F$550,2,FALSE)*'DGNB LCA Results'!$J$3+
                                                                  VLOOKUP(CONCATENATE('DGNB LCA Results'!$G$3,"_",E596), $A$2:$F$550,2,FALSE)*'DGNB LCA Results'!$H$3,
IF('DGNB LCA Results'!$P$4=3,VLOOKUP(CONCATENATE('DGNB LCA Results'!$M$3,"_",E596), $A$2:$F$550,2,FALSE)*'DGNB LCA Results'!$N$3+
                                                                VLOOKUP(CONCATENATE('DGNB LCA Results'!$K$3,"_",E596), $A$2:$F$550,2,FALSE)*'DGNB LCA Results'!$L$3+
                                                                VLOOKUP(CONCATENATE('DGNB LCA Results'!$I$3,"_",E596),$A$2:$F$550,2,FALSE)*'DGNB LCA Results'!$J$3,
IF('DGNB LCA Results'!$P$4=2,VLOOKUP(CONCATENATE('DGNB LCA Results'!$M$3,"_",E596), $A$2:$F$550,2,FALSE)*'DGNB LCA Results'!$N$3+
                                                                 VLOOKUP(CONCATENATE('DGNB LCA Results'!$K$3,"_",E596),$A$2:$F$550,2,FALSE)*'DGNB LCA Results'!$L$3,
IF('DGNB LCA Results'!$P$4=1,VLOOKUP(CONCATENATE('DGNB LCA Results'!$M$3,"_",E596), $A$2:$F$550,2,FALSE)*'DGNB LCA Results'!$N$3,0))))</f>
        <v>0</v>
      </c>
      <c r="C596">
        <f>IF('DGNB LCA Results'!$P$4=4,VLOOKUP(CONCATENATE('DGNB LCA Results'!$M$3,"_",E596), $A$2:$F$550,3,FALSE)*'DGNB LCA Results'!$N$3+
                                                                  VLOOKUP(CONCATENATE('DGNB LCA Results'!$K$3,"_",E596), $A$2:$F$550,3,FALSE)*'DGNB LCA Results'!$L$3+
                                                                  VLOOKUP(CONCATENATE('DGNB LCA Results'!$I$3,"_",E596),$A$2:$F$550,3,FALSE)*'DGNB LCA Results'!$J$3+
                                                                  VLOOKUP(CONCATENATE('DGNB LCA Results'!$G$3,"_",E596), $A$2:$F$550,3,FALSE)*'DGNB LCA Results'!$H$3,
IF('DGNB LCA Results'!$P$4=3,VLOOKUP(CONCATENATE('DGNB LCA Results'!$M$3,"_",E596), $A$2:$F$550,3,FALSE)*'DGNB LCA Results'!$N$3+
                                                                VLOOKUP(CONCATENATE('DGNB LCA Results'!$K$3,"_",E596), $A$2:$F$550,3,FALSE)*'DGNB LCA Results'!$L$3+
                                                                VLOOKUP(CONCATENATE('DGNB LCA Results'!$I$3,"_",E596),$A$2:$F$550,3,FALSE)*'DGNB LCA Results'!$J$3,
IF('DGNB LCA Results'!$P$4=2,VLOOKUP(CONCATENATE('DGNB LCA Results'!$M$3,"_",E596), $A$2:$F$550,3,FALSE)*'DGNB LCA Results'!$N$3+
                                                                 VLOOKUP(CONCATENATE('DGNB LCA Results'!$K$3,"_",E596),$A$2:$F$550,3,FALSE)*'DGNB LCA Results'!$L$3,
IF('DGNB LCA Results'!$P$4=1,VLOOKUP(CONCATENATE('DGNB LCA Results'!$M$3,"_",E596), $A$2:$F$550,3,FALSE)*'DGNB LCA Results'!$N$3,0))))</f>
        <v>0</v>
      </c>
      <c r="D596">
        <f>IF('DGNB LCA Results'!$P$4=4,VLOOKUP(CONCATENATE('DGNB LCA Results'!$M$3,"_",E596), $A$2:$F$550,4,FALSE)*'DGNB LCA Results'!$N$3+
                                                                  VLOOKUP(CONCATENATE('DGNB LCA Results'!$K$3,"_",E596), $A$2:$F$550,4,FALSE)*'DGNB LCA Results'!$L$3+
                                                                  VLOOKUP(CONCATENATE('DGNB LCA Results'!$I$3,"_",E596),$A$2:$F$550,4,FALSE)*'DGNB LCA Results'!$J$3+
                                                                  VLOOKUP(CONCATENATE('DGNB LCA Results'!$G$3,"_",E596), $A$2:$F$550,4,FALSE)*'DGNB LCA Results'!$H$3,
IF('DGNB LCA Results'!$P$4=3,VLOOKUP(CONCATENATE('DGNB LCA Results'!$M$3,"_",E596), $A$2:$F$550,4,FALSE)*'DGNB LCA Results'!$N$3+
                                                                VLOOKUP(CONCATENATE('DGNB LCA Results'!$K$3,"_",E596), $A$2:$F$550,4,FALSE)*'DGNB LCA Results'!$L$3+
                                                                VLOOKUP(CONCATENATE('DGNB LCA Results'!$I$3,"_",E596),$A$2:$F$550,4,FALSE)*'DGNB LCA Results'!$J$3,
IF('DGNB LCA Results'!$P$4=2,VLOOKUP(CONCATENATE('DGNB LCA Results'!$M$3,"_",E596), $A$2:$F$550,4,FALSE)*'DGNB LCA Results'!$N$3+
                                                                 VLOOKUP(CONCATENATE('DGNB LCA Results'!$K$3,"_",E596),$A$2:$F$550,4,FALSE)*'DGNB LCA Results'!$L$3,
IF('DGNB LCA Results'!$P$4=1,VLOOKUP(CONCATENATE('DGNB LCA Results'!$M$3,"_",E596), $A$2:$F$550,4,FALSE)*'DGNB LCA Results'!$N$3,0))))</f>
        <v>0</v>
      </c>
      <c r="E596">
        <v>70</v>
      </c>
      <c r="F596" t="s">
        <v>194</v>
      </c>
    </row>
    <row r="597" spans="1:6" x14ac:dyDescent="0.2">
      <c r="A597" t="str">
        <f t="shared" si="8"/>
        <v>MIX15_75</v>
      </c>
      <c r="B597">
        <f>IF('DGNB LCA Results'!$P$4=4,VLOOKUP(CONCATENATE('DGNB LCA Results'!$M$3,"_",E597), $A$2:$F$550,2,FALSE)*'DGNB LCA Results'!$N$3+
                                                                  VLOOKUP(CONCATENATE('DGNB LCA Results'!$K$3,"_",E597), $A$2:$F$550,2,FALSE)*'DGNB LCA Results'!$L$3+
                                                                  VLOOKUP(CONCATENATE('DGNB LCA Results'!$I$3,"_",E597),$A$2:$F$550,2,FALSE)*'DGNB LCA Results'!$J$3+
                                                                  VLOOKUP(CONCATENATE('DGNB LCA Results'!$G$3,"_",E597), $A$2:$F$550,2,FALSE)*'DGNB LCA Results'!$H$3,
IF('DGNB LCA Results'!$P$4=3,VLOOKUP(CONCATENATE('DGNB LCA Results'!$M$3,"_",E597), $A$2:$F$550,2,FALSE)*'DGNB LCA Results'!$N$3+
                                                                VLOOKUP(CONCATENATE('DGNB LCA Results'!$K$3,"_",E597), $A$2:$F$550,2,FALSE)*'DGNB LCA Results'!$L$3+
                                                                VLOOKUP(CONCATENATE('DGNB LCA Results'!$I$3,"_",E597),$A$2:$F$550,2,FALSE)*'DGNB LCA Results'!$J$3,
IF('DGNB LCA Results'!$P$4=2,VLOOKUP(CONCATENATE('DGNB LCA Results'!$M$3,"_",E597), $A$2:$F$550,2,FALSE)*'DGNB LCA Results'!$N$3+
                                                                 VLOOKUP(CONCATENATE('DGNB LCA Results'!$K$3,"_",E597),$A$2:$F$550,2,FALSE)*'DGNB LCA Results'!$L$3,
IF('DGNB LCA Results'!$P$4=1,VLOOKUP(CONCATENATE('DGNB LCA Results'!$M$3,"_",E597), $A$2:$F$550,2,FALSE)*'DGNB LCA Results'!$N$3,0))))</f>
        <v>0</v>
      </c>
      <c r="C597">
        <f>IF('DGNB LCA Results'!$P$4=4,VLOOKUP(CONCATENATE('DGNB LCA Results'!$M$3,"_",E597), $A$2:$F$550,3,FALSE)*'DGNB LCA Results'!$N$3+
                                                                  VLOOKUP(CONCATENATE('DGNB LCA Results'!$K$3,"_",E597), $A$2:$F$550,3,FALSE)*'DGNB LCA Results'!$L$3+
                                                                  VLOOKUP(CONCATENATE('DGNB LCA Results'!$I$3,"_",E597),$A$2:$F$550,3,FALSE)*'DGNB LCA Results'!$J$3+
                                                                  VLOOKUP(CONCATENATE('DGNB LCA Results'!$G$3,"_",E597), $A$2:$F$550,3,FALSE)*'DGNB LCA Results'!$H$3,
IF('DGNB LCA Results'!$P$4=3,VLOOKUP(CONCATENATE('DGNB LCA Results'!$M$3,"_",E597), $A$2:$F$550,3,FALSE)*'DGNB LCA Results'!$N$3+
                                                                VLOOKUP(CONCATENATE('DGNB LCA Results'!$K$3,"_",E597), $A$2:$F$550,3,FALSE)*'DGNB LCA Results'!$L$3+
                                                                VLOOKUP(CONCATENATE('DGNB LCA Results'!$I$3,"_",E597),$A$2:$F$550,3,FALSE)*'DGNB LCA Results'!$J$3,
IF('DGNB LCA Results'!$P$4=2,VLOOKUP(CONCATENATE('DGNB LCA Results'!$M$3,"_",E597), $A$2:$F$550,3,FALSE)*'DGNB LCA Results'!$N$3+
                                                                 VLOOKUP(CONCATENATE('DGNB LCA Results'!$K$3,"_",E597),$A$2:$F$550,3,FALSE)*'DGNB LCA Results'!$L$3,
IF('DGNB LCA Results'!$P$4=1,VLOOKUP(CONCATENATE('DGNB LCA Results'!$M$3,"_",E597), $A$2:$F$550,3,FALSE)*'DGNB LCA Results'!$N$3,0))))</f>
        <v>0</v>
      </c>
      <c r="D597">
        <f>IF('DGNB LCA Results'!$P$4=4,VLOOKUP(CONCATENATE('DGNB LCA Results'!$M$3,"_",E597), $A$2:$F$550,4,FALSE)*'DGNB LCA Results'!$N$3+
                                                                  VLOOKUP(CONCATENATE('DGNB LCA Results'!$K$3,"_",E597), $A$2:$F$550,4,FALSE)*'DGNB LCA Results'!$L$3+
                                                                  VLOOKUP(CONCATENATE('DGNB LCA Results'!$I$3,"_",E597),$A$2:$F$550,4,FALSE)*'DGNB LCA Results'!$J$3+
                                                                  VLOOKUP(CONCATENATE('DGNB LCA Results'!$G$3,"_",E597), $A$2:$F$550,4,FALSE)*'DGNB LCA Results'!$H$3,
IF('DGNB LCA Results'!$P$4=3,VLOOKUP(CONCATENATE('DGNB LCA Results'!$M$3,"_",E597), $A$2:$F$550,4,FALSE)*'DGNB LCA Results'!$N$3+
                                                                VLOOKUP(CONCATENATE('DGNB LCA Results'!$K$3,"_",E597), $A$2:$F$550,4,FALSE)*'DGNB LCA Results'!$L$3+
                                                                VLOOKUP(CONCATENATE('DGNB LCA Results'!$I$3,"_",E597),$A$2:$F$550,4,FALSE)*'DGNB LCA Results'!$J$3,
IF('DGNB LCA Results'!$P$4=2,VLOOKUP(CONCATENATE('DGNB LCA Results'!$M$3,"_",E597), $A$2:$F$550,4,FALSE)*'DGNB LCA Results'!$N$3+
                                                                 VLOOKUP(CONCATENATE('DGNB LCA Results'!$K$3,"_",E597),$A$2:$F$550,4,FALSE)*'DGNB LCA Results'!$L$3,
IF('DGNB LCA Results'!$P$4=1,VLOOKUP(CONCATENATE('DGNB LCA Results'!$M$3,"_",E597), $A$2:$F$550,4,FALSE)*'DGNB LCA Results'!$N$3,0))))</f>
        <v>0</v>
      </c>
      <c r="E597">
        <v>75</v>
      </c>
      <c r="F597" t="s">
        <v>194</v>
      </c>
    </row>
    <row r="598" spans="1:6" x14ac:dyDescent="0.2">
      <c r="A598" t="str">
        <f t="shared" si="8"/>
        <v>MIX15_80</v>
      </c>
      <c r="B598">
        <f>IF('DGNB LCA Results'!$P$4=4,VLOOKUP(CONCATENATE('DGNB LCA Results'!$M$3,"_",E598), $A$2:$F$550,2,FALSE)*'DGNB LCA Results'!$N$3+
                                                                  VLOOKUP(CONCATENATE('DGNB LCA Results'!$K$3,"_",E598), $A$2:$F$550,2,FALSE)*'DGNB LCA Results'!$L$3+
                                                                  VLOOKUP(CONCATENATE('DGNB LCA Results'!$I$3,"_",E598),$A$2:$F$550,2,FALSE)*'DGNB LCA Results'!$J$3+
                                                                  VLOOKUP(CONCATENATE('DGNB LCA Results'!$G$3,"_",E598), $A$2:$F$550,2,FALSE)*'DGNB LCA Results'!$H$3,
IF('DGNB LCA Results'!$P$4=3,VLOOKUP(CONCATENATE('DGNB LCA Results'!$M$3,"_",E598), $A$2:$F$550,2,FALSE)*'DGNB LCA Results'!$N$3+
                                                                VLOOKUP(CONCATENATE('DGNB LCA Results'!$K$3,"_",E598), $A$2:$F$550,2,FALSE)*'DGNB LCA Results'!$L$3+
                                                                VLOOKUP(CONCATENATE('DGNB LCA Results'!$I$3,"_",E598),$A$2:$F$550,2,FALSE)*'DGNB LCA Results'!$J$3,
IF('DGNB LCA Results'!$P$4=2,VLOOKUP(CONCATENATE('DGNB LCA Results'!$M$3,"_",E598), $A$2:$F$550,2,FALSE)*'DGNB LCA Results'!$N$3+
                                                                 VLOOKUP(CONCATENATE('DGNB LCA Results'!$K$3,"_",E598),$A$2:$F$550,2,FALSE)*'DGNB LCA Results'!$L$3,
IF('DGNB LCA Results'!$P$4=1,VLOOKUP(CONCATENATE('DGNB LCA Results'!$M$3,"_",E598), $A$2:$F$550,2,FALSE)*'DGNB LCA Results'!$N$3,0))))</f>
        <v>0</v>
      </c>
      <c r="C598">
        <f>IF('DGNB LCA Results'!$P$4=4,VLOOKUP(CONCATENATE('DGNB LCA Results'!$M$3,"_",E598), $A$2:$F$550,3,FALSE)*'DGNB LCA Results'!$N$3+
                                                                  VLOOKUP(CONCATENATE('DGNB LCA Results'!$K$3,"_",E598), $A$2:$F$550,3,FALSE)*'DGNB LCA Results'!$L$3+
                                                                  VLOOKUP(CONCATENATE('DGNB LCA Results'!$I$3,"_",E598),$A$2:$F$550,3,FALSE)*'DGNB LCA Results'!$J$3+
                                                                  VLOOKUP(CONCATENATE('DGNB LCA Results'!$G$3,"_",E598), $A$2:$F$550,3,FALSE)*'DGNB LCA Results'!$H$3,
IF('DGNB LCA Results'!$P$4=3,VLOOKUP(CONCATENATE('DGNB LCA Results'!$M$3,"_",E598), $A$2:$F$550,3,FALSE)*'DGNB LCA Results'!$N$3+
                                                                VLOOKUP(CONCATENATE('DGNB LCA Results'!$K$3,"_",E598), $A$2:$F$550,3,FALSE)*'DGNB LCA Results'!$L$3+
                                                                VLOOKUP(CONCATENATE('DGNB LCA Results'!$I$3,"_",E598),$A$2:$F$550,3,FALSE)*'DGNB LCA Results'!$J$3,
IF('DGNB LCA Results'!$P$4=2,VLOOKUP(CONCATENATE('DGNB LCA Results'!$M$3,"_",E598), $A$2:$F$550,3,FALSE)*'DGNB LCA Results'!$N$3+
                                                                 VLOOKUP(CONCATENATE('DGNB LCA Results'!$K$3,"_",E598),$A$2:$F$550,3,FALSE)*'DGNB LCA Results'!$L$3,
IF('DGNB LCA Results'!$P$4=1,VLOOKUP(CONCATENATE('DGNB LCA Results'!$M$3,"_",E598), $A$2:$F$550,3,FALSE)*'DGNB LCA Results'!$N$3,0))))</f>
        <v>0</v>
      </c>
      <c r="D598">
        <f>IF('DGNB LCA Results'!$P$4=4,VLOOKUP(CONCATENATE('DGNB LCA Results'!$M$3,"_",E598), $A$2:$F$550,4,FALSE)*'DGNB LCA Results'!$N$3+
                                                                  VLOOKUP(CONCATENATE('DGNB LCA Results'!$K$3,"_",E598), $A$2:$F$550,4,FALSE)*'DGNB LCA Results'!$L$3+
                                                                  VLOOKUP(CONCATENATE('DGNB LCA Results'!$I$3,"_",E598),$A$2:$F$550,4,FALSE)*'DGNB LCA Results'!$J$3+
                                                                  VLOOKUP(CONCATENATE('DGNB LCA Results'!$G$3,"_",E598), $A$2:$F$550,4,FALSE)*'DGNB LCA Results'!$H$3,
IF('DGNB LCA Results'!$P$4=3,VLOOKUP(CONCATENATE('DGNB LCA Results'!$M$3,"_",E598), $A$2:$F$550,4,FALSE)*'DGNB LCA Results'!$N$3+
                                                                VLOOKUP(CONCATENATE('DGNB LCA Results'!$K$3,"_",E598), $A$2:$F$550,4,FALSE)*'DGNB LCA Results'!$L$3+
                                                                VLOOKUP(CONCATENATE('DGNB LCA Results'!$I$3,"_",E598),$A$2:$F$550,4,FALSE)*'DGNB LCA Results'!$J$3,
IF('DGNB LCA Results'!$P$4=2,VLOOKUP(CONCATENATE('DGNB LCA Results'!$M$3,"_",E598), $A$2:$F$550,4,FALSE)*'DGNB LCA Results'!$N$3+
                                                                 VLOOKUP(CONCATENATE('DGNB LCA Results'!$K$3,"_",E598),$A$2:$F$550,4,FALSE)*'DGNB LCA Results'!$L$3,
IF('DGNB LCA Results'!$P$4=1,VLOOKUP(CONCATENATE('DGNB LCA Results'!$M$3,"_",E598), $A$2:$F$550,4,FALSE)*'DGNB LCA Results'!$N$3,0))))</f>
        <v>0</v>
      </c>
      <c r="E598">
        <v>80</v>
      </c>
      <c r="F598" t="s">
        <v>194</v>
      </c>
    </row>
    <row r="599" spans="1:6" x14ac:dyDescent="0.2">
      <c r="A599" t="str">
        <f t="shared" si="8"/>
        <v>MIX15_85</v>
      </c>
      <c r="B599">
        <f>IF('DGNB LCA Results'!$P$4=4,VLOOKUP(CONCATENATE('DGNB LCA Results'!$M$3,"_",E599), $A$2:$F$550,2,FALSE)*'DGNB LCA Results'!$N$3+
                                                                  VLOOKUP(CONCATENATE('DGNB LCA Results'!$K$3,"_",E599), $A$2:$F$550,2,FALSE)*'DGNB LCA Results'!$L$3+
                                                                  VLOOKUP(CONCATENATE('DGNB LCA Results'!$I$3,"_",E599),$A$2:$F$550,2,FALSE)*'DGNB LCA Results'!$J$3+
                                                                  VLOOKUP(CONCATENATE('DGNB LCA Results'!$G$3,"_",E599), $A$2:$F$550,2,FALSE)*'DGNB LCA Results'!$H$3,
IF('DGNB LCA Results'!$P$4=3,VLOOKUP(CONCATENATE('DGNB LCA Results'!$M$3,"_",E599), $A$2:$F$550,2,FALSE)*'DGNB LCA Results'!$N$3+
                                                                VLOOKUP(CONCATENATE('DGNB LCA Results'!$K$3,"_",E599), $A$2:$F$550,2,FALSE)*'DGNB LCA Results'!$L$3+
                                                                VLOOKUP(CONCATENATE('DGNB LCA Results'!$I$3,"_",E599),$A$2:$F$550,2,FALSE)*'DGNB LCA Results'!$J$3,
IF('DGNB LCA Results'!$P$4=2,VLOOKUP(CONCATENATE('DGNB LCA Results'!$M$3,"_",E599), $A$2:$F$550,2,FALSE)*'DGNB LCA Results'!$N$3+
                                                                 VLOOKUP(CONCATENATE('DGNB LCA Results'!$K$3,"_",E599),$A$2:$F$550,2,FALSE)*'DGNB LCA Results'!$L$3,
IF('DGNB LCA Results'!$P$4=1,VLOOKUP(CONCATENATE('DGNB LCA Results'!$M$3,"_",E599), $A$2:$F$550,2,FALSE)*'DGNB LCA Results'!$N$3,0))))</f>
        <v>0</v>
      </c>
      <c r="C599">
        <f>IF('DGNB LCA Results'!$P$4=4,VLOOKUP(CONCATENATE('DGNB LCA Results'!$M$3,"_",E599), $A$2:$F$550,3,FALSE)*'DGNB LCA Results'!$N$3+
                                                                  VLOOKUP(CONCATENATE('DGNB LCA Results'!$K$3,"_",E599), $A$2:$F$550,3,FALSE)*'DGNB LCA Results'!$L$3+
                                                                  VLOOKUP(CONCATENATE('DGNB LCA Results'!$I$3,"_",E599),$A$2:$F$550,3,FALSE)*'DGNB LCA Results'!$J$3+
                                                                  VLOOKUP(CONCATENATE('DGNB LCA Results'!$G$3,"_",E599), $A$2:$F$550,3,FALSE)*'DGNB LCA Results'!$H$3,
IF('DGNB LCA Results'!$P$4=3,VLOOKUP(CONCATENATE('DGNB LCA Results'!$M$3,"_",E599), $A$2:$F$550,3,FALSE)*'DGNB LCA Results'!$N$3+
                                                                VLOOKUP(CONCATENATE('DGNB LCA Results'!$K$3,"_",E599), $A$2:$F$550,3,FALSE)*'DGNB LCA Results'!$L$3+
                                                                VLOOKUP(CONCATENATE('DGNB LCA Results'!$I$3,"_",E599),$A$2:$F$550,3,FALSE)*'DGNB LCA Results'!$J$3,
IF('DGNB LCA Results'!$P$4=2,VLOOKUP(CONCATENATE('DGNB LCA Results'!$M$3,"_",E599), $A$2:$F$550,3,FALSE)*'DGNB LCA Results'!$N$3+
                                                                 VLOOKUP(CONCATENATE('DGNB LCA Results'!$K$3,"_",E599),$A$2:$F$550,3,FALSE)*'DGNB LCA Results'!$L$3,
IF('DGNB LCA Results'!$P$4=1,VLOOKUP(CONCATENATE('DGNB LCA Results'!$M$3,"_",E599), $A$2:$F$550,3,FALSE)*'DGNB LCA Results'!$N$3,0))))</f>
        <v>0</v>
      </c>
      <c r="D599">
        <f>IF('DGNB LCA Results'!$P$4=4,VLOOKUP(CONCATENATE('DGNB LCA Results'!$M$3,"_",E599), $A$2:$F$550,4,FALSE)*'DGNB LCA Results'!$N$3+
                                                                  VLOOKUP(CONCATENATE('DGNB LCA Results'!$K$3,"_",E599), $A$2:$F$550,4,FALSE)*'DGNB LCA Results'!$L$3+
                                                                  VLOOKUP(CONCATENATE('DGNB LCA Results'!$I$3,"_",E599),$A$2:$F$550,4,FALSE)*'DGNB LCA Results'!$J$3+
                                                                  VLOOKUP(CONCATENATE('DGNB LCA Results'!$G$3,"_",E599), $A$2:$F$550,4,FALSE)*'DGNB LCA Results'!$H$3,
IF('DGNB LCA Results'!$P$4=3,VLOOKUP(CONCATENATE('DGNB LCA Results'!$M$3,"_",E599), $A$2:$F$550,4,FALSE)*'DGNB LCA Results'!$N$3+
                                                                VLOOKUP(CONCATENATE('DGNB LCA Results'!$K$3,"_",E599), $A$2:$F$550,4,FALSE)*'DGNB LCA Results'!$L$3+
                                                                VLOOKUP(CONCATENATE('DGNB LCA Results'!$I$3,"_",E599),$A$2:$F$550,4,FALSE)*'DGNB LCA Results'!$J$3,
IF('DGNB LCA Results'!$P$4=2,VLOOKUP(CONCATENATE('DGNB LCA Results'!$M$3,"_",E599), $A$2:$F$550,4,FALSE)*'DGNB LCA Results'!$N$3+
                                                                 VLOOKUP(CONCATENATE('DGNB LCA Results'!$K$3,"_",E599),$A$2:$F$550,4,FALSE)*'DGNB LCA Results'!$L$3,
IF('DGNB LCA Results'!$P$4=1,VLOOKUP(CONCATENATE('DGNB LCA Results'!$M$3,"_",E599), $A$2:$F$550,4,FALSE)*'DGNB LCA Results'!$N$3,0))))</f>
        <v>0</v>
      </c>
      <c r="E599">
        <v>85</v>
      </c>
      <c r="F599" t="s">
        <v>194</v>
      </c>
    </row>
    <row r="600" spans="1:6" x14ac:dyDescent="0.2">
      <c r="A600" t="str">
        <f t="shared" si="8"/>
        <v>MIX15_90</v>
      </c>
      <c r="B600">
        <f>IF('DGNB LCA Results'!$P$4=4,VLOOKUP(CONCATENATE('DGNB LCA Results'!$M$3,"_",E600), $A$2:$F$550,2,FALSE)*'DGNB LCA Results'!$N$3+
                                                                  VLOOKUP(CONCATENATE('DGNB LCA Results'!$K$3,"_",E600), $A$2:$F$550,2,FALSE)*'DGNB LCA Results'!$L$3+
                                                                  VLOOKUP(CONCATENATE('DGNB LCA Results'!$I$3,"_",E600),$A$2:$F$550,2,FALSE)*'DGNB LCA Results'!$J$3+
                                                                  VLOOKUP(CONCATENATE('DGNB LCA Results'!$G$3,"_",E600), $A$2:$F$550,2,FALSE)*'DGNB LCA Results'!$H$3,
IF('DGNB LCA Results'!$P$4=3,VLOOKUP(CONCATENATE('DGNB LCA Results'!$M$3,"_",E600), $A$2:$F$550,2,FALSE)*'DGNB LCA Results'!$N$3+
                                                                VLOOKUP(CONCATENATE('DGNB LCA Results'!$K$3,"_",E600), $A$2:$F$550,2,FALSE)*'DGNB LCA Results'!$L$3+
                                                                VLOOKUP(CONCATENATE('DGNB LCA Results'!$I$3,"_",E600),$A$2:$F$550,2,FALSE)*'DGNB LCA Results'!$J$3,
IF('DGNB LCA Results'!$P$4=2,VLOOKUP(CONCATENATE('DGNB LCA Results'!$M$3,"_",E600), $A$2:$F$550,2,FALSE)*'DGNB LCA Results'!$N$3+
                                                                 VLOOKUP(CONCATENATE('DGNB LCA Results'!$K$3,"_",E600),$A$2:$F$550,2,FALSE)*'DGNB LCA Results'!$L$3,
IF('DGNB LCA Results'!$P$4=1,VLOOKUP(CONCATENATE('DGNB LCA Results'!$M$3,"_",E600), $A$2:$F$550,2,FALSE)*'DGNB LCA Results'!$N$3,0))))</f>
        <v>0</v>
      </c>
      <c r="C600">
        <f>IF('DGNB LCA Results'!$P$4=4,VLOOKUP(CONCATENATE('DGNB LCA Results'!$M$3,"_",E600), $A$2:$F$550,3,FALSE)*'DGNB LCA Results'!$N$3+
                                                                  VLOOKUP(CONCATENATE('DGNB LCA Results'!$K$3,"_",E600), $A$2:$F$550,3,FALSE)*'DGNB LCA Results'!$L$3+
                                                                  VLOOKUP(CONCATENATE('DGNB LCA Results'!$I$3,"_",E600),$A$2:$F$550,3,FALSE)*'DGNB LCA Results'!$J$3+
                                                                  VLOOKUP(CONCATENATE('DGNB LCA Results'!$G$3,"_",E600), $A$2:$F$550,3,FALSE)*'DGNB LCA Results'!$H$3,
IF('DGNB LCA Results'!$P$4=3,VLOOKUP(CONCATENATE('DGNB LCA Results'!$M$3,"_",E600), $A$2:$F$550,3,FALSE)*'DGNB LCA Results'!$N$3+
                                                                VLOOKUP(CONCATENATE('DGNB LCA Results'!$K$3,"_",E600), $A$2:$F$550,3,FALSE)*'DGNB LCA Results'!$L$3+
                                                                VLOOKUP(CONCATENATE('DGNB LCA Results'!$I$3,"_",E600),$A$2:$F$550,3,FALSE)*'DGNB LCA Results'!$J$3,
IF('DGNB LCA Results'!$P$4=2,VLOOKUP(CONCATENATE('DGNB LCA Results'!$M$3,"_",E600), $A$2:$F$550,3,FALSE)*'DGNB LCA Results'!$N$3+
                                                                 VLOOKUP(CONCATENATE('DGNB LCA Results'!$K$3,"_",E600),$A$2:$F$550,3,FALSE)*'DGNB LCA Results'!$L$3,
IF('DGNB LCA Results'!$P$4=1,VLOOKUP(CONCATENATE('DGNB LCA Results'!$M$3,"_",E600), $A$2:$F$550,3,FALSE)*'DGNB LCA Results'!$N$3,0))))</f>
        <v>0</v>
      </c>
      <c r="D600">
        <f>IF('DGNB LCA Results'!$P$4=4,VLOOKUP(CONCATENATE('DGNB LCA Results'!$M$3,"_",E600), $A$2:$F$550,4,FALSE)*'DGNB LCA Results'!$N$3+
                                                                  VLOOKUP(CONCATENATE('DGNB LCA Results'!$K$3,"_",E600), $A$2:$F$550,4,FALSE)*'DGNB LCA Results'!$L$3+
                                                                  VLOOKUP(CONCATENATE('DGNB LCA Results'!$I$3,"_",E600),$A$2:$F$550,4,FALSE)*'DGNB LCA Results'!$J$3+
                                                                  VLOOKUP(CONCATENATE('DGNB LCA Results'!$G$3,"_",E600), $A$2:$F$550,4,FALSE)*'DGNB LCA Results'!$H$3,
IF('DGNB LCA Results'!$P$4=3,VLOOKUP(CONCATENATE('DGNB LCA Results'!$M$3,"_",E600), $A$2:$F$550,4,FALSE)*'DGNB LCA Results'!$N$3+
                                                                VLOOKUP(CONCATENATE('DGNB LCA Results'!$K$3,"_",E600), $A$2:$F$550,4,FALSE)*'DGNB LCA Results'!$L$3+
                                                                VLOOKUP(CONCATENATE('DGNB LCA Results'!$I$3,"_",E600),$A$2:$F$550,4,FALSE)*'DGNB LCA Results'!$J$3,
IF('DGNB LCA Results'!$P$4=2,VLOOKUP(CONCATENATE('DGNB LCA Results'!$M$3,"_",E600), $A$2:$F$550,4,FALSE)*'DGNB LCA Results'!$N$3+
                                                                 VLOOKUP(CONCATENATE('DGNB LCA Results'!$K$3,"_",E600),$A$2:$F$550,4,FALSE)*'DGNB LCA Results'!$L$3,
IF('DGNB LCA Results'!$P$4=1,VLOOKUP(CONCATENATE('DGNB LCA Results'!$M$3,"_",E600), $A$2:$F$550,4,FALSE)*'DGNB LCA Results'!$N$3,0))))</f>
        <v>0</v>
      </c>
      <c r="E600">
        <v>90</v>
      </c>
      <c r="F600" t="s">
        <v>194</v>
      </c>
    </row>
    <row r="601" spans="1:6" x14ac:dyDescent="0.2">
      <c r="A601" t="str">
        <f t="shared" si="8"/>
        <v>MIX15_95</v>
      </c>
      <c r="B601">
        <f>IF('DGNB LCA Results'!$P$4=4,VLOOKUP(CONCATENATE('DGNB LCA Results'!$M$3,"_",E601), $A$2:$F$550,2,FALSE)*'DGNB LCA Results'!$N$3+
                                                                  VLOOKUP(CONCATENATE('DGNB LCA Results'!$K$3,"_",E601), $A$2:$F$550,2,FALSE)*'DGNB LCA Results'!$L$3+
                                                                  VLOOKUP(CONCATENATE('DGNB LCA Results'!$I$3,"_",E601),$A$2:$F$550,2,FALSE)*'DGNB LCA Results'!$J$3+
                                                                  VLOOKUP(CONCATENATE('DGNB LCA Results'!$G$3,"_",E601), $A$2:$F$550,2,FALSE)*'DGNB LCA Results'!$H$3,
IF('DGNB LCA Results'!$P$4=3,VLOOKUP(CONCATENATE('DGNB LCA Results'!$M$3,"_",E601), $A$2:$F$550,2,FALSE)*'DGNB LCA Results'!$N$3+
                                                                VLOOKUP(CONCATENATE('DGNB LCA Results'!$K$3,"_",E601), $A$2:$F$550,2,FALSE)*'DGNB LCA Results'!$L$3+
                                                                VLOOKUP(CONCATENATE('DGNB LCA Results'!$I$3,"_",E601),$A$2:$F$550,2,FALSE)*'DGNB LCA Results'!$J$3,
IF('DGNB LCA Results'!$P$4=2,VLOOKUP(CONCATENATE('DGNB LCA Results'!$M$3,"_",E601), $A$2:$F$550,2,FALSE)*'DGNB LCA Results'!$N$3+
                                                                 VLOOKUP(CONCATENATE('DGNB LCA Results'!$K$3,"_",E601),$A$2:$F$550,2,FALSE)*'DGNB LCA Results'!$L$3,
IF('DGNB LCA Results'!$P$4=1,VLOOKUP(CONCATENATE('DGNB LCA Results'!$M$3,"_",E601), $A$2:$F$550,2,FALSE)*'DGNB LCA Results'!$N$3,0))))</f>
        <v>0</v>
      </c>
      <c r="C601">
        <f>IF('DGNB LCA Results'!$P$4=4,VLOOKUP(CONCATENATE('DGNB LCA Results'!$M$3,"_",E601), $A$2:$F$550,3,FALSE)*'DGNB LCA Results'!$N$3+
                                                                  VLOOKUP(CONCATENATE('DGNB LCA Results'!$K$3,"_",E601), $A$2:$F$550,3,FALSE)*'DGNB LCA Results'!$L$3+
                                                                  VLOOKUP(CONCATENATE('DGNB LCA Results'!$I$3,"_",E601),$A$2:$F$550,3,FALSE)*'DGNB LCA Results'!$J$3+
                                                                  VLOOKUP(CONCATENATE('DGNB LCA Results'!$G$3,"_",E601), $A$2:$F$550,3,FALSE)*'DGNB LCA Results'!$H$3,
IF('DGNB LCA Results'!$P$4=3,VLOOKUP(CONCATENATE('DGNB LCA Results'!$M$3,"_",E601), $A$2:$F$550,3,FALSE)*'DGNB LCA Results'!$N$3+
                                                                VLOOKUP(CONCATENATE('DGNB LCA Results'!$K$3,"_",E601), $A$2:$F$550,3,FALSE)*'DGNB LCA Results'!$L$3+
                                                                VLOOKUP(CONCATENATE('DGNB LCA Results'!$I$3,"_",E601),$A$2:$F$550,3,FALSE)*'DGNB LCA Results'!$J$3,
IF('DGNB LCA Results'!$P$4=2,VLOOKUP(CONCATENATE('DGNB LCA Results'!$M$3,"_",E601), $A$2:$F$550,3,FALSE)*'DGNB LCA Results'!$N$3+
                                                                 VLOOKUP(CONCATENATE('DGNB LCA Results'!$K$3,"_",E601),$A$2:$F$550,3,FALSE)*'DGNB LCA Results'!$L$3,
IF('DGNB LCA Results'!$P$4=1,VLOOKUP(CONCATENATE('DGNB LCA Results'!$M$3,"_",E601), $A$2:$F$550,3,FALSE)*'DGNB LCA Results'!$N$3,0))))</f>
        <v>0</v>
      </c>
      <c r="D601">
        <f>IF('DGNB LCA Results'!$P$4=4,VLOOKUP(CONCATENATE('DGNB LCA Results'!$M$3,"_",E601), $A$2:$F$550,4,FALSE)*'DGNB LCA Results'!$N$3+
                                                                  VLOOKUP(CONCATENATE('DGNB LCA Results'!$K$3,"_",E601), $A$2:$F$550,4,FALSE)*'DGNB LCA Results'!$L$3+
                                                                  VLOOKUP(CONCATENATE('DGNB LCA Results'!$I$3,"_",E601),$A$2:$F$550,4,FALSE)*'DGNB LCA Results'!$J$3+
                                                                  VLOOKUP(CONCATENATE('DGNB LCA Results'!$G$3,"_",E601), $A$2:$F$550,4,FALSE)*'DGNB LCA Results'!$H$3,
IF('DGNB LCA Results'!$P$4=3,VLOOKUP(CONCATENATE('DGNB LCA Results'!$M$3,"_",E601), $A$2:$F$550,4,FALSE)*'DGNB LCA Results'!$N$3+
                                                                VLOOKUP(CONCATENATE('DGNB LCA Results'!$K$3,"_",E601), $A$2:$F$550,4,FALSE)*'DGNB LCA Results'!$L$3+
                                                                VLOOKUP(CONCATENATE('DGNB LCA Results'!$I$3,"_",E601),$A$2:$F$550,4,FALSE)*'DGNB LCA Results'!$J$3,
IF('DGNB LCA Results'!$P$4=2,VLOOKUP(CONCATENATE('DGNB LCA Results'!$M$3,"_",E601), $A$2:$F$550,4,FALSE)*'DGNB LCA Results'!$N$3+
                                                                 VLOOKUP(CONCATENATE('DGNB LCA Results'!$K$3,"_",E601),$A$2:$F$550,4,FALSE)*'DGNB LCA Results'!$L$3,
IF('DGNB LCA Results'!$P$4=1,VLOOKUP(CONCATENATE('DGNB LCA Results'!$M$3,"_",E601), $A$2:$F$550,4,FALSE)*'DGNB LCA Results'!$N$3,0))))</f>
        <v>0</v>
      </c>
      <c r="E601">
        <v>95</v>
      </c>
      <c r="F601" t="s">
        <v>194</v>
      </c>
    </row>
    <row r="602" spans="1:6" x14ac:dyDescent="0.2">
      <c r="A602" t="str">
        <f t="shared" si="8"/>
        <v>MIX15_100</v>
      </c>
      <c r="B602">
        <f>IF('DGNB LCA Results'!$P$4=4,VLOOKUP(CONCATENATE('DGNB LCA Results'!$M$3,"_",E602), $A$2:$F$550,2,FALSE)*'DGNB LCA Results'!$N$3+
                                                                  VLOOKUP(CONCATENATE('DGNB LCA Results'!$K$3,"_",E602), $A$2:$F$550,2,FALSE)*'DGNB LCA Results'!$L$3+
                                                                  VLOOKUP(CONCATENATE('DGNB LCA Results'!$I$3,"_",E602),$A$2:$F$550,2,FALSE)*'DGNB LCA Results'!$J$3+
                                                                  VLOOKUP(CONCATENATE('DGNB LCA Results'!$G$3,"_",E602), $A$2:$F$550,2,FALSE)*'DGNB LCA Results'!$H$3,
IF('DGNB LCA Results'!$P$4=3,VLOOKUP(CONCATENATE('DGNB LCA Results'!$M$3,"_",E602), $A$2:$F$550,2,FALSE)*'DGNB LCA Results'!$N$3+
                                                                VLOOKUP(CONCATENATE('DGNB LCA Results'!$K$3,"_",E602), $A$2:$F$550,2,FALSE)*'DGNB LCA Results'!$L$3+
                                                                VLOOKUP(CONCATENATE('DGNB LCA Results'!$I$3,"_",E602),$A$2:$F$550,2,FALSE)*'DGNB LCA Results'!$J$3,
IF('DGNB LCA Results'!$P$4=2,VLOOKUP(CONCATENATE('DGNB LCA Results'!$M$3,"_",E602), $A$2:$F$550,2,FALSE)*'DGNB LCA Results'!$N$3+
                                                                 VLOOKUP(CONCATENATE('DGNB LCA Results'!$K$3,"_",E602),$A$2:$F$550,2,FALSE)*'DGNB LCA Results'!$L$3,
IF('DGNB LCA Results'!$P$4=1,VLOOKUP(CONCATENATE('DGNB LCA Results'!$M$3,"_",E602), $A$2:$F$550,2,FALSE)*'DGNB LCA Results'!$N$3,0))))</f>
        <v>0</v>
      </c>
      <c r="C602">
        <f>IF('DGNB LCA Results'!$P$4=4,VLOOKUP(CONCATENATE('DGNB LCA Results'!$M$3,"_",E602), $A$2:$F$550,3,FALSE)*'DGNB LCA Results'!$N$3+
                                                                  VLOOKUP(CONCATENATE('DGNB LCA Results'!$K$3,"_",E602), $A$2:$F$550,3,FALSE)*'DGNB LCA Results'!$L$3+
                                                                  VLOOKUP(CONCATENATE('DGNB LCA Results'!$I$3,"_",E602),$A$2:$F$550,3,FALSE)*'DGNB LCA Results'!$J$3+
                                                                  VLOOKUP(CONCATENATE('DGNB LCA Results'!$G$3,"_",E602), $A$2:$F$550,3,FALSE)*'DGNB LCA Results'!$H$3,
IF('DGNB LCA Results'!$P$4=3,VLOOKUP(CONCATENATE('DGNB LCA Results'!$M$3,"_",E602), $A$2:$F$550,3,FALSE)*'DGNB LCA Results'!$N$3+
                                                                VLOOKUP(CONCATENATE('DGNB LCA Results'!$K$3,"_",E602), $A$2:$F$550,3,FALSE)*'DGNB LCA Results'!$L$3+
                                                                VLOOKUP(CONCATENATE('DGNB LCA Results'!$I$3,"_",E602),$A$2:$F$550,3,FALSE)*'DGNB LCA Results'!$J$3,
IF('DGNB LCA Results'!$P$4=2,VLOOKUP(CONCATENATE('DGNB LCA Results'!$M$3,"_",E602), $A$2:$F$550,3,FALSE)*'DGNB LCA Results'!$N$3+
                                                                 VLOOKUP(CONCATENATE('DGNB LCA Results'!$K$3,"_",E602),$A$2:$F$550,3,FALSE)*'DGNB LCA Results'!$L$3,
IF('DGNB LCA Results'!$P$4=1,VLOOKUP(CONCATENATE('DGNB LCA Results'!$M$3,"_",E602), $A$2:$F$550,3,FALSE)*'DGNB LCA Results'!$N$3,0))))</f>
        <v>0</v>
      </c>
      <c r="D602">
        <f>IF('DGNB LCA Results'!$P$4=4,VLOOKUP(CONCATENATE('DGNB LCA Results'!$M$3,"_",E602), $A$2:$F$550,4,FALSE)*'DGNB LCA Results'!$N$3+
                                                                  VLOOKUP(CONCATENATE('DGNB LCA Results'!$K$3,"_",E602), $A$2:$F$550,4,FALSE)*'DGNB LCA Results'!$L$3+
                                                                  VLOOKUP(CONCATENATE('DGNB LCA Results'!$I$3,"_",E602),$A$2:$F$550,4,FALSE)*'DGNB LCA Results'!$J$3+
                                                                  VLOOKUP(CONCATENATE('DGNB LCA Results'!$G$3,"_",E602), $A$2:$F$550,4,FALSE)*'DGNB LCA Results'!$H$3,
IF('DGNB LCA Results'!$P$4=3,VLOOKUP(CONCATENATE('DGNB LCA Results'!$M$3,"_",E602), $A$2:$F$550,4,FALSE)*'DGNB LCA Results'!$N$3+
                                                                VLOOKUP(CONCATENATE('DGNB LCA Results'!$K$3,"_",E602), $A$2:$F$550,4,FALSE)*'DGNB LCA Results'!$L$3+
                                                                VLOOKUP(CONCATENATE('DGNB LCA Results'!$I$3,"_",E602),$A$2:$F$550,4,FALSE)*'DGNB LCA Results'!$J$3,
IF('DGNB LCA Results'!$P$4=2,VLOOKUP(CONCATENATE('DGNB LCA Results'!$M$3,"_",E602), $A$2:$F$550,4,FALSE)*'DGNB LCA Results'!$N$3+
                                                                 VLOOKUP(CONCATENATE('DGNB LCA Results'!$K$3,"_",E602),$A$2:$F$550,4,FALSE)*'DGNB LCA Results'!$L$3,
IF('DGNB LCA Results'!$P$4=1,VLOOKUP(CONCATENATE('DGNB LCA Results'!$M$3,"_",E602), $A$2:$F$550,4,FALSE)*'DGNB LCA Results'!$N$3,0))))</f>
        <v>0</v>
      </c>
      <c r="E602">
        <v>100</v>
      </c>
      <c r="F602" t="s">
        <v>194</v>
      </c>
    </row>
    <row r="603" spans="1:6" x14ac:dyDescent="0.2">
      <c r="A603" t="str">
        <f t="shared" si="8"/>
        <v>MIX15_110</v>
      </c>
      <c r="B603">
        <f>IF('DGNB LCA Results'!$P$4=4,VLOOKUP(CONCATENATE('DGNB LCA Results'!$M$3,"_",E603), $A$2:$F$550,2,FALSE)*'DGNB LCA Results'!$N$3+
                                                                  VLOOKUP(CONCATENATE('DGNB LCA Results'!$K$3,"_",E603), $A$2:$F$550,2,FALSE)*'DGNB LCA Results'!$L$3+
                                                                  VLOOKUP(CONCATENATE('DGNB LCA Results'!$I$3,"_",E603),$A$2:$F$550,2,FALSE)*'DGNB LCA Results'!$J$3+
                                                                  VLOOKUP(CONCATENATE('DGNB LCA Results'!$G$3,"_",E603), $A$2:$F$550,2,FALSE)*'DGNB LCA Results'!$H$3,
IF('DGNB LCA Results'!$P$4=3,VLOOKUP(CONCATENATE('DGNB LCA Results'!$M$3,"_",E603), $A$2:$F$550,2,FALSE)*'DGNB LCA Results'!$N$3+
                                                                VLOOKUP(CONCATENATE('DGNB LCA Results'!$K$3,"_",E603), $A$2:$F$550,2,FALSE)*'DGNB LCA Results'!$L$3+
                                                                VLOOKUP(CONCATENATE('DGNB LCA Results'!$I$3,"_",E603),$A$2:$F$550,2,FALSE)*'DGNB LCA Results'!$J$3,
IF('DGNB LCA Results'!$P$4=2,VLOOKUP(CONCATENATE('DGNB LCA Results'!$M$3,"_",E603), $A$2:$F$550,2,FALSE)*'DGNB LCA Results'!$N$3+
                                                                 VLOOKUP(CONCATENATE('DGNB LCA Results'!$K$3,"_",E603),$A$2:$F$550,2,FALSE)*'DGNB LCA Results'!$L$3,
IF('DGNB LCA Results'!$P$4=1,VLOOKUP(CONCATENATE('DGNB LCA Results'!$M$3,"_",E603), $A$2:$F$550,2,FALSE)*'DGNB LCA Results'!$N$3,0))))</f>
        <v>0</v>
      </c>
      <c r="C603">
        <f>IF('DGNB LCA Results'!$P$4=4,VLOOKUP(CONCATENATE('DGNB LCA Results'!$M$3,"_",E603), $A$2:$F$550,3,FALSE)*'DGNB LCA Results'!$N$3+
                                                                  VLOOKUP(CONCATENATE('DGNB LCA Results'!$K$3,"_",E603), $A$2:$F$550,3,FALSE)*'DGNB LCA Results'!$L$3+
                                                                  VLOOKUP(CONCATENATE('DGNB LCA Results'!$I$3,"_",E603),$A$2:$F$550,3,FALSE)*'DGNB LCA Results'!$J$3+
                                                                  VLOOKUP(CONCATENATE('DGNB LCA Results'!$G$3,"_",E603), $A$2:$F$550,3,FALSE)*'DGNB LCA Results'!$H$3,
IF('DGNB LCA Results'!$P$4=3,VLOOKUP(CONCATENATE('DGNB LCA Results'!$M$3,"_",E603), $A$2:$F$550,3,FALSE)*'DGNB LCA Results'!$N$3+
                                                                VLOOKUP(CONCATENATE('DGNB LCA Results'!$K$3,"_",E603), $A$2:$F$550,3,FALSE)*'DGNB LCA Results'!$L$3+
                                                                VLOOKUP(CONCATENATE('DGNB LCA Results'!$I$3,"_",E603),$A$2:$F$550,3,FALSE)*'DGNB LCA Results'!$J$3,
IF('DGNB LCA Results'!$P$4=2,VLOOKUP(CONCATENATE('DGNB LCA Results'!$M$3,"_",E603), $A$2:$F$550,3,FALSE)*'DGNB LCA Results'!$N$3+
                                                                 VLOOKUP(CONCATENATE('DGNB LCA Results'!$K$3,"_",E603),$A$2:$F$550,3,FALSE)*'DGNB LCA Results'!$L$3,
IF('DGNB LCA Results'!$P$4=1,VLOOKUP(CONCATENATE('DGNB LCA Results'!$M$3,"_",E603), $A$2:$F$550,3,FALSE)*'DGNB LCA Results'!$N$3,0))))</f>
        <v>0</v>
      </c>
      <c r="D603">
        <f>IF('DGNB LCA Results'!$P$4=4,VLOOKUP(CONCATENATE('DGNB LCA Results'!$M$3,"_",E603), $A$2:$F$550,4,FALSE)*'DGNB LCA Results'!$N$3+
                                                                  VLOOKUP(CONCATENATE('DGNB LCA Results'!$K$3,"_",E603), $A$2:$F$550,4,FALSE)*'DGNB LCA Results'!$L$3+
                                                                  VLOOKUP(CONCATENATE('DGNB LCA Results'!$I$3,"_",E603),$A$2:$F$550,4,FALSE)*'DGNB LCA Results'!$J$3+
                                                                  VLOOKUP(CONCATENATE('DGNB LCA Results'!$G$3,"_",E603), $A$2:$F$550,4,FALSE)*'DGNB LCA Results'!$H$3,
IF('DGNB LCA Results'!$P$4=3,VLOOKUP(CONCATENATE('DGNB LCA Results'!$M$3,"_",E603), $A$2:$F$550,4,FALSE)*'DGNB LCA Results'!$N$3+
                                                                VLOOKUP(CONCATENATE('DGNB LCA Results'!$K$3,"_",E603), $A$2:$F$550,4,FALSE)*'DGNB LCA Results'!$L$3+
                                                                VLOOKUP(CONCATENATE('DGNB LCA Results'!$I$3,"_",E603),$A$2:$F$550,4,FALSE)*'DGNB LCA Results'!$J$3,
IF('DGNB LCA Results'!$P$4=2,VLOOKUP(CONCATENATE('DGNB LCA Results'!$M$3,"_",E603), $A$2:$F$550,4,FALSE)*'DGNB LCA Results'!$N$3+
                                                                 VLOOKUP(CONCATENATE('DGNB LCA Results'!$K$3,"_",E603),$A$2:$F$550,4,FALSE)*'DGNB LCA Results'!$L$3,
IF('DGNB LCA Results'!$P$4=1,VLOOKUP(CONCATENATE('DGNB LCA Results'!$M$3,"_",E603), $A$2:$F$550,4,FALSE)*'DGNB LCA Results'!$N$3,0))))</f>
        <v>0</v>
      </c>
      <c r="E603">
        <v>110</v>
      </c>
      <c r="F603" t="s">
        <v>194</v>
      </c>
    </row>
    <row r="604" spans="1:6" x14ac:dyDescent="0.2">
      <c r="A604" t="str">
        <f t="shared" si="8"/>
        <v>MIX15_120</v>
      </c>
      <c r="B604">
        <f>IF('DGNB LCA Results'!$P$4=4,VLOOKUP(CONCATENATE('DGNB LCA Results'!$M$3,"_",E604), $A$2:$F$550,2,FALSE)*'DGNB LCA Results'!$N$3+
                                                                  VLOOKUP(CONCATENATE('DGNB LCA Results'!$K$3,"_",E604), $A$2:$F$550,2,FALSE)*'DGNB LCA Results'!$L$3+
                                                                  VLOOKUP(CONCATENATE('DGNB LCA Results'!$I$3,"_",E604),$A$2:$F$550,2,FALSE)*'DGNB LCA Results'!$J$3+
                                                                  VLOOKUP(CONCATENATE('DGNB LCA Results'!$G$3,"_",E604), $A$2:$F$550,2,FALSE)*'DGNB LCA Results'!$H$3,
IF('DGNB LCA Results'!$P$4=3,VLOOKUP(CONCATENATE('DGNB LCA Results'!$M$3,"_",E604), $A$2:$F$550,2,FALSE)*'DGNB LCA Results'!$N$3+
                                                                VLOOKUP(CONCATENATE('DGNB LCA Results'!$K$3,"_",E604), $A$2:$F$550,2,FALSE)*'DGNB LCA Results'!$L$3+
                                                                VLOOKUP(CONCATENATE('DGNB LCA Results'!$I$3,"_",E604),$A$2:$F$550,2,FALSE)*'DGNB LCA Results'!$J$3,
IF('DGNB LCA Results'!$P$4=2,VLOOKUP(CONCATENATE('DGNB LCA Results'!$M$3,"_",E604), $A$2:$F$550,2,FALSE)*'DGNB LCA Results'!$N$3+
                                                                 VLOOKUP(CONCATENATE('DGNB LCA Results'!$K$3,"_",E604),$A$2:$F$550,2,FALSE)*'DGNB LCA Results'!$L$3,
IF('DGNB LCA Results'!$P$4=1,VLOOKUP(CONCATENATE('DGNB LCA Results'!$M$3,"_",E604), $A$2:$F$550,2,FALSE)*'DGNB LCA Results'!$N$3,0))))</f>
        <v>0</v>
      </c>
      <c r="C604">
        <f>IF('DGNB LCA Results'!$P$4=4,VLOOKUP(CONCATENATE('DGNB LCA Results'!$M$3,"_",E604), $A$2:$F$550,3,FALSE)*'DGNB LCA Results'!$N$3+
                                                                  VLOOKUP(CONCATENATE('DGNB LCA Results'!$K$3,"_",E604), $A$2:$F$550,3,FALSE)*'DGNB LCA Results'!$L$3+
                                                                  VLOOKUP(CONCATENATE('DGNB LCA Results'!$I$3,"_",E604),$A$2:$F$550,3,FALSE)*'DGNB LCA Results'!$J$3+
                                                                  VLOOKUP(CONCATENATE('DGNB LCA Results'!$G$3,"_",E604), $A$2:$F$550,3,FALSE)*'DGNB LCA Results'!$H$3,
IF('DGNB LCA Results'!$P$4=3,VLOOKUP(CONCATENATE('DGNB LCA Results'!$M$3,"_",E604), $A$2:$F$550,3,FALSE)*'DGNB LCA Results'!$N$3+
                                                                VLOOKUP(CONCATENATE('DGNB LCA Results'!$K$3,"_",E604), $A$2:$F$550,3,FALSE)*'DGNB LCA Results'!$L$3+
                                                                VLOOKUP(CONCATENATE('DGNB LCA Results'!$I$3,"_",E604),$A$2:$F$550,3,FALSE)*'DGNB LCA Results'!$J$3,
IF('DGNB LCA Results'!$P$4=2,VLOOKUP(CONCATENATE('DGNB LCA Results'!$M$3,"_",E604), $A$2:$F$550,3,FALSE)*'DGNB LCA Results'!$N$3+
                                                                 VLOOKUP(CONCATENATE('DGNB LCA Results'!$K$3,"_",E604),$A$2:$F$550,3,FALSE)*'DGNB LCA Results'!$L$3,
IF('DGNB LCA Results'!$P$4=1,VLOOKUP(CONCATENATE('DGNB LCA Results'!$M$3,"_",E604), $A$2:$F$550,3,FALSE)*'DGNB LCA Results'!$N$3,0))))</f>
        <v>0</v>
      </c>
      <c r="D604">
        <f>IF('DGNB LCA Results'!$P$4=4,VLOOKUP(CONCATENATE('DGNB LCA Results'!$M$3,"_",E604), $A$2:$F$550,4,FALSE)*'DGNB LCA Results'!$N$3+
                                                                  VLOOKUP(CONCATENATE('DGNB LCA Results'!$K$3,"_",E604), $A$2:$F$550,4,FALSE)*'DGNB LCA Results'!$L$3+
                                                                  VLOOKUP(CONCATENATE('DGNB LCA Results'!$I$3,"_",E604),$A$2:$F$550,4,FALSE)*'DGNB LCA Results'!$J$3+
                                                                  VLOOKUP(CONCATENATE('DGNB LCA Results'!$G$3,"_",E604), $A$2:$F$550,4,FALSE)*'DGNB LCA Results'!$H$3,
IF('DGNB LCA Results'!$P$4=3,VLOOKUP(CONCATENATE('DGNB LCA Results'!$M$3,"_",E604), $A$2:$F$550,4,FALSE)*'DGNB LCA Results'!$N$3+
                                                                VLOOKUP(CONCATENATE('DGNB LCA Results'!$K$3,"_",E604), $A$2:$F$550,4,FALSE)*'DGNB LCA Results'!$L$3+
                                                                VLOOKUP(CONCATENATE('DGNB LCA Results'!$I$3,"_",E604),$A$2:$F$550,4,FALSE)*'DGNB LCA Results'!$J$3,
IF('DGNB LCA Results'!$P$4=2,VLOOKUP(CONCATENATE('DGNB LCA Results'!$M$3,"_",E604), $A$2:$F$550,4,FALSE)*'DGNB LCA Results'!$N$3+
                                                                 VLOOKUP(CONCATENATE('DGNB LCA Results'!$K$3,"_",E604),$A$2:$F$550,4,FALSE)*'DGNB LCA Results'!$L$3,
IF('DGNB LCA Results'!$P$4=1,VLOOKUP(CONCATENATE('DGNB LCA Results'!$M$3,"_",E604), $A$2:$F$550,4,FALSE)*'DGNB LCA Results'!$N$3,0))))</f>
        <v>0</v>
      </c>
      <c r="E604">
        <v>120</v>
      </c>
      <c r="F604" t="s">
        <v>194</v>
      </c>
    </row>
    <row r="605" spans="1:6" x14ac:dyDescent="0.2">
      <c r="A605" t="str">
        <f t="shared" si="8"/>
        <v/>
      </c>
    </row>
    <row r="606" spans="1:6" x14ac:dyDescent="0.2">
      <c r="A606" t="str">
        <f t="shared" si="8"/>
        <v>MIX18_0</v>
      </c>
      <c r="B606">
        <v>1.4</v>
      </c>
      <c r="C606">
        <v>1</v>
      </c>
      <c r="D606">
        <v>1</v>
      </c>
      <c r="E606">
        <v>0</v>
      </c>
      <c r="F606" t="s">
        <v>192</v>
      </c>
    </row>
    <row r="607" spans="1:6" x14ac:dyDescent="0.2">
      <c r="A607" t="str">
        <f t="shared" si="8"/>
        <v>MIX18_40</v>
      </c>
      <c r="B607">
        <v>1</v>
      </c>
      <c r="C607">
        <v>1</v>
      </c>
      <c r="D607">
        <v>1</v>
      </c>
      <c r="E607">
        <v>40</v>
      </c>
      <c r="F607" t="s">
        <v>192</v>
      </c>
    </row>
    <row r="608" spans="1:6" x14ac:dyDescent="0.2">
      <c r="A608" t="str">
        <f t="shared" ref="A608:A609" si="10">IF(F608="","",CONCATENATE(F608,"_",E608))</f>
        <v>MIX18_80</v>
      </c>
      <c r="B608">
        <v>0.7</v>
      </c>
      <c r="C608">
        <v>1</v>
      </c>
      <c r="D608">
        <v>1</v>
      </c>
      <c r="E608">
        <v>80</v>
      </c>
      <c r="F608" t="s">
        <v>192</v>
      </c>
    </row>
    <row r="609" spans="1:6" x14ac:dyDescent="0.2">
      <c r="A609" t="str">
        <f t="shared" si="10"/>
        <v>MIX18_100</v>
      </c>
      <c r="B609">
        <v>0.55000000000000004</v>
      </c>
      <c r="C609">
        <v>1</v>
      </c>
      <c r="D609">
        <v>1</v>
      </c>
      <c r="E609">
        <v>100</v>
      </c>
      <c r="F609" t="s">
        <v>192</v>
      </c>
    </row>
    <row r="610" spans="1:6" x14ac:dyDescent="0.2">
      <c r="A610" t="str">
        <f t="shared" ref="A610:A671" si="11">IF(F610="","",CONCATENATE(F610,"_",E610))</f>
        <v/>
      </c>
    </row>
    <row r="611" spans="1:6" x14ac:dyDescent="0.2">
      <c r="A611" t="str">
        <f>IF(F611="","",CONCATENATE(F611,"_",E611))</f>
        <v>MIX18_NVS_0</v>
      </c>
      <c r="B611">
        <f>IF('DGNB LCA Results'!$P$4=4,VLOOKUP(CONCATENATE('DGNB LCA Results'!$M$3,"_",E611),$A$2:$E$560,2,FALSE)*'DGNB LCA Results'!$N$3+
                                                                  VLOOKUP(CONCATENATE('DGNB LCA Results'!$K$3,"_",E611),$A$2:$E$560,2,FALSE)*'DGNB LCA Results'!$L$3+
                                                                  VLOOKUP(CONCATENATE('DGNB LCA Results'!$I$3,"_",E611),$A$2:$E$560,2,FALSE)*'DGNB LCA Results'!$J$3+
                                                                  VLOOKUP(CONCATENATE('DGNB LCA Results'!$G$3,"_",E611), $A$2:$E$560,2,FALSE)*'DGNB LCA Results'!$H$3,
IF('DGNB LCA Results'!$P$4=3,VLOOKUP(CONCATENATE('DGNB LCA Results'!$M$3,"_",E611),$A$2:$E$560,2,FALSE)*'DGNB LCA Results'!$N$3+
                                                                VLOOKUP(CONCATENATE('DGNB LCA Results'!$K$3,"_",E611),$A$2:$E$560,2,FALSE)*'DGNB LCA Results'!$L$3+
                                                                VLOOKUP(CONCATENATE('DGNB LCA Results'!$I$3,"_",E611),$A$2:$E$560,2,FALSE)*'DGNB LCA Results'!$J$3,
IF('DGNB LCA Results'!$P$4=2,VLOOKUP(CONCATENATE('DGNB LCA Results'!$M$3,"_",E611),$A$2:$E$560,2,FALSE)*'DGNB LCA Results'!$N$3+
                                                                 VLOOKUP(CONCATENATE('DGNB LCA Results'!$K$3,"_",E611),$A$2:$E$560,2,FALSE)*'DGNB LCA Results'!$L$3,
IF('DGNB LCA Results'!$P$4=1,VLOOKUP(CONCATENATE('DGNB LCA Results'!$M$3,"_",E611),$A$2:$E$560,2,FALSE)*'DGNB LCA Results'!$N$3,0))))</f>
        <v>0</v>
      </c>
      <c r="C611">
        <v>1</v>
      </c>
      <c r="D611">
        <v>1</v>
      </c>
      <c r="E611" s="49">
        <v>0</v>
      </c>
      <c r="F611" t="s">
        <v>207</v>
      </c>
    </row>
    <row r="612" spans="1:6" x14ac:dyDescent="0.2">
      <c r="A612" t="str">
        <f>IF(F612="","",CONCATENATE(F612,"_",E612))</f>
        <v>MIX18_NVS_30</v>
      </c>
      <c r="B612">
        <f>IF('DGNB LCA Results'!$P$4=4,VLOOKUP(CONCATENATE('DGNB LCA Results'!$M$3,"_",E612),$A$2:$E$560,2,FALSE)*'DGNB LCA Results'!$N$3+
                                                                  VLOOKUP(CONCATENATE('DGNB LCA Results'!$K$3,"_",E612),$A$2:$E$560,2,FALSE)*'DGNB LCA Results'!$L$3+
                                                                  VLOOKUP(CONCATENATE('DGNB LCA Results'!$I$3,"_",E612),$A$2:$E$560,2,FALSE)*'DGNB LCA Results'!$J$3+
                                                                  VLOOKUP(CONCATENATE('DGNB LCA Results'!$G$3,"_",E612), $A$2:$E$560,2,FALSE)*'DGNB LCA Results'!$H$3,
IF('DGNB LCA Results'!$P$4=3,VLOOKUP(CONCATENATE('DGNB LCA Results'!$M$3,"_",E612),$A$2:$E$560,2,FALSE)*'DGNB LCA Results'!$N$3+
                                                                VLOOKUP(CONCATENATE('DGNB LCA Results'!$K$3,"_",E612),$A$2:$E$560,2,FALSE)*'DGNB LCA Results'!$L$3+
                                                                VLOOKUP(CONCATENATE('DGNB LCA Results'!$I$3,"_",E612),$A$2:$E$560,2,FALSE)*'DGNB LCA Results'!$J$3,
IF('DGNB LCA Results'!$P$4=2,VLOOKUP(CONCATENATE('DGNB LCA Results'!$M$3,"_",E612),$A$2:$E$560,2,FALSE)*'DGNB LCA Results'!$N$3+
                                                                 VLOOKUP(CONCATENATE('DGNB LCA Results'!$K$3,"_",E612),$A$2:$E$560,2,FALSE)*'DGNB LCA Results'!$L$3,
IF('DGNB LCA Results'!$P$4=1,VLOOKUP(CONCATENATE('DGNB LCA Results'!$M$3,"_",E612),$A$2:$E$560,2,FALSE)*'DGNB LCA Results'!$N$3,0))))</f>
        <v>0</v>
      </c>
      <c r="C612">
        <v>1</v>
      </c>
      <c r="D612">
        <v>1</v>
      </c>
      <c r="E612" s="49">
        <v>30</v>
      </c>
      <c r="F612" t="s">
        <v>207</v>
      </c>
    </row>
    <row r="613" spans="1:6" x14ac:dyDescent="0.2">
      <c r="A613" t="str">
        <f>IF(F613="","",CONCATENATE(F613,"_",E613))</f>
        <v>MIX18_NVS_60</v>
      </c>
      <c r="B613">
        <f>IF('DGNB LCA Results'!$P$4=4,VLOOKUP(CONCATENATE('DGNB LCA Results'!$M$3,"_",E613),$A$2:$E$560,2,FALSE)*'DGNB LCA Results'!$N$3+
                                                                  VLOOKUP(CONCATENATE('DGNB LCA Results'!$K$3,"_",E613),$A$2:$E$560,2,FALSE)*'DGNB LCA Results'!$L$3+
                                                                  VLOOKUP(CONCATENATE('DGNB LCA Results'!$I$3,"_",E613),$A$2:$E$560,2,FALSE)*'DGNB LCA Results'!$J$3+
                                                                  VLOOKUP(CONCATENATE('DGNB LCA Results'!$G$3,"_",E613), $A$2:$E$560,2,FALSE)*'DGNB LCA Results'!$H$3,
IF('DGNB LCA Results'!$P$4=3,VLOOKUP(CONCATENATE('DGNB LCA Results'!$M$3,"_",E613),$A$2:$E$560,2,FALSE)*'DGNB LCA Results'!$N$3+
                                                                VLOOKUP(CONCATENATE('DGNB LCA Results'!$K$3,"_",E613),$A$2:$E$560,2,FALSE)*'DGNB LCA Results'!$L$3+
                                                                VLOOKUP(CONCATENATE('DGNB LCA Results'!$I$3,"_",E613),$A$2:$E$560,2,FALSE)*'DGNB LCA Results'!$J$3,
IF('DGNB LCA Results'!$P$4=2,VLOOKUP(CONCATENATE('DGNB LCA Results'!$M$3,"_",E613),$A$2:$E$560,2,FALSE)*'DGNB LCA Results'!$N$3+
                                                                 VLOOKUP(CONCATENATE('DGNB LCA Results'!$K$3,"_",E613),$A$2:$E$560,2,FALSE)*'DGNB LCA Results'!$L$3,
IF('DGNB LCA Results'!$P$4=1,VLOOKUP(CONCATENATE('DGNB LCA Results'!$M$3,"_",E613),$A$2:$E$560,2,FALSE)*'DGNB LCA Results'!$N$3,0))))</f>
        <v>0</v>
      </c>
      <c r="C613">
        <v>1</v>
      </c>
      <c r="D613">
        <v>1</v>
      </c>
      <c r="E613" s="49">
        <v>60</v>
      </c>
      <c r="F613" t="s">
        <v>207</v>
      </c>
    </row>
    <row r="614" spans="1:6" x14ac:dyDescent="0.2">
      <c r="A614" t="str">
        <f>IF(F614="","",CONCATENATE(F614,"_",E614))</f>
        <v>MIX18_NVS_80</v>
      </c>
      <c r="B614">
        <f>IF('DGNB LCA Results'!$P$4=4,VLOOKUP(CONCATENATE('DGNB LCA Results'!$M$3,"_",E614),$A$2:$E$560,2,FALSE)*'DGNB LCA Results'!$N$3+
                                                                  VLOOKUP(CONCATENATE('DGNB LCA Results'!$K$3,"_",E614),$A$2:$E$560,2,FALSE)*'DGNB LCA Results'!$L$3+
                                                                  VLOOKUP(CONCATENATE('DGNB LCA Results'!$I$3,"_",E614),$A$2:$E$560,2,FALSE)*'DGNB LCA Results'!$J$3+
                                                                  VLOOKUP(CONCATENATE('DGNB LCA Results'!$G$3,"_",E614), $A$2:$E$560,2,FALSE)*'DGNB LCA Results'!$H$3,
IF('DGNB LCA Results'!$P$4=3,VLOOKUP(CONCATENATE('DGNB LCA Results'!$M$3,"_",E614),$A$2:$E$560,2,FALSE)*'DGNB LCA Results'!$N$3+
                                                                VLOOKUP(CONCATENATE('DGNB LCA Results'!$K$3,"_",E614),$A$2:$E$560,2,FALSE)*'DGNB LCA Results'!$L$3+
                                                                VLOOKUP(CONCATENATE('DGNB LCA Results'!$I$3,"_",E614),$A$2:$E$560,2,FALSE)*'DGNB LCA Results'!$J$3,
IF('DGNB LCA Results'!$P$4=2,VLOOKUP(CONCATENATE('DGNB LCA Results'!$M$3,"_",E614),$A$2:$E$560,2,FALSE)*'DGNB LCA Results'!$N$3+
                                                                 VLOOKUP(CONCATENATE('DGNB LCA Results'!$K$3,"_",E614),$A$2:$E$560,2,FALSE)*'DGNB LCA Results'!$L$3,
IF('DGNB LCA Results'!$P$4=1,VLOOKUP(CONCATENATE('DGNB LCA Results'!$M$3,"_",E614),$A$2:$E$560,2,FALSE)*'DGNB LCA Results'!$N$3,0))))</f>
        <v>0</v>
      </c>
      <c r="C614">
        <v>1</v>
      </c>
      <c r="D614">
        <v>1</v>
      </c>
      <c r="E614" s="49">
        <v>80</v>
      </c>
      <c r="F614" t="s">
        <v>207</v>
      </c>
    </row>
    <row r="620" spans="1:6" x14ac:dyDescent="0.2">
      <c r="A620" t="str">
        <f t="shared" si="11"/>
        <v/>
      </c>
    </row>
    <row r="621" spans="1:6" x14ac:dyDescent="0.2">
      <c r="A621" t="str">
        <f t="shared" si="11"/>
        <v/>
      </c>
    </row>
    <row r="622" spans="1:6" x14ac:dyDescent="0.2">
      <c r="A622" t="str">
        <f t="shared" si="11"/>
        <v/>
      </c>
    </row>
    <row r="623" spans="1:6" x14ac:dyDescent="0.2">
      <c r="A623" t="str">
        <f t="shared" si="11"/>
        <v/>
      </c>
    </row>
    <row r="624" spans="1:6" x14ac:dyDescent="0.2">
      <c r="A624" t="str">
        <f t="shared" si="11"/>
        <v/>
      </c>
    </row>
    <row r="625" spans="1:1" x14ac:dyDescent="0.2">
      <c r="A625" t="str">
        <f t="shared" si="11"/>
        <v/>
      </c>
    </row>
    <row r="626" spans="1:1" x14ac:dyDescent="0.2">
      <c r="A626" t="str">
        <f t="shared" si="11"/>
        <v/>
      </c>
    </row>
    <row r="627" spans="1:1" x14ac:dyDescent="0.2">
      <c r="A627" t="str">
        <f t="shared" si="11"/>
        <v/>
      </c>
    </row>
    <row r="628" spans="1:1" x14ac:dyDescent="0.2">
      <c r="A628" t="str">
        <f t="shared" si="11"/>
        <v/>
      </c>
    </row>
    <row r="629" spans="1:1" x14ac:dyDescent="0.2">
      <c r="A629" t="str">
        <f t="shared" si="11"/>
        <v/>
      </c>
    </row>
    <row r="630" spans="1:1" x14ac:dyDescent="0.2">
      <c r="A630" t="str">
        <f t="shared" si="11"/>
        <v/>
      </c>
    </row>
    <row r="631" spans="1:1" x14ac:dyDescent="0.2">
      <c r="A631" t="str">
        <f t="shared" si="11"/>
        <v/>
      </c>
    </row>
    <row r="632" spans="1:1" x14ac:dyDescent="0.2">
      <c r="A632" t="str">
        <f t="shared" si="11"/>
        <v/>
      </c>
    </row>
    <row r="633" spans="1:1" x14ac:dyDescent="0.2">
      <c r="A633" t="str">
        <f t="shared" si="11"/>
        <v/>
      </c>
    </row>
    <row r="634" spans="1:1" x14ac:dyDescent="0.2">
      <c r="A634" t="str">
        <f t="shared" si="11"/>
        <v/>
      </c>
    </row>
    <row r="635" spans="1:1" x14ac:dyDescent="0.2">
      <c r="A635" t="str">
        <f t="shared" si="11"/>
        <v/>
      </c>
    </row>
    <row r="636" spans="1:1" x14ac:dyDescent="0.2">
      <c r="A636" t="str">
        <f t="shared" si="11"/>
        <v/>
      </c>
    </row>
    <row r="637" spans="1:1" x14ac:dyDescent="0.2">
      <c r="A637" t="str">
        <f t="shared" si="11"/>
        <v/>
      </c>
    </row>
    <row r="638" spans="1:1" x14ac:dyDescent="0.2">
      <c r="A638" t="str">
        <f t="shared" si="11"/>
        <v/>
      </c>
    </row>
    <row r="639" spans="1:1" x14ac:dyDescent="0.2">
      <c r="A639" t="str">
        <f t="shared" si="11"/>
        <v/>
      </c>
    </row>
    <row r="640" spans="1:1" x14ac:dyDescent="0.2">
      <c r="A640" t="str">
        <f t="shared" si="11"/>
        <v/>
      </c>
    </row>
    <row r="641" spans="1:1" x14ac:dyDescent="0.2">
      <c r="A641" t="str">
        <f t="shared" si="11"/>
        <v/>
      </c>
    </row>
    <row r="642" spans="1:1" x14ac:dyDescent="0.2">
      <c r="A642" t="str">
        <f t="shared" si="11"/>
        <v/>
      </c>
    </row>
    <row r="643" spans="1:1" x14ac:dyDescent="0.2">
      <c r="A643" t="str">
        <f t="shared" si="11"/>
        <v/>
      </c>
    </row>
    <row r="644" spans="1:1" x14ac:dyDescent="0.2">
      <c r="A644" t="str">
        <f t="shared" si="11"/>
        <v/>
      </c>
    </row>
    <row r="645" spans="1:1" x14ac:dyDescent="0.2">
      <c r="A645" t="str">
        <f t="shared" si="11"/>
        <v/>
      </c>
    </row>
    <row r="646" spans="1:1" x14ac:dyDescent="0.2">
      <c r="A646" t="str">
        <f t="shared" si="11"/>
        <v/>
      </c>
    </row>
    <row r="647" spans="1:1" x14ac:dyDescent="0.2">
      <c r="A647" t="str">
        <f t="shared" si="11"/>
        <v/>
      </c>
    </row>
    <row r="648" spans="1:1" x14ac:dyDescent="0.2">
      <c r="A648" t="str">
        <f t="shared" si="11"/>
        <v/>
      </c>
    </row>
    <row r="649" spans="1:1" x14ac:dyDescent="0.2">
      <c r="A649" t="str">
        <f t="shared" si="11"/>
        <v/>
      </c>
    </row>
    <row r="650" spans="1:1" x14ac:dyDescent="0.2">
      <c r="A650" t="str">
        <f t="shared" si="11"/>
        <v/>
      </c>
    </row>
    <row r="651" spans="1:1" x14ac:dyDescent="0.2">
      <c r="A651" t="str">
        <f t="shared" si="11"/>
        <v/>
      </c>
    </row>
    <row r="652" spans="1:1" x14ac:dyDescent="0.2">
      <c r="A652" t="str">
        <f t="shared" si="11"/>
        <v/>
      </c>
    </row>
    <row r="653" spans="1:1" x14ac:dyDescent="0.2">
      <c r="A653" t="str">
        <f t="shared" si="11"/>
        <v/>
      </c>
    </row>
    <row r="654" spans="1:1" x14ac:dyDescent="0.2">
      <c r="A654" t="str">
        <f t="shared" si="11"/>
        <v/>
      </c>
    </row>
    <row r="655" spans="1:1" x14ac:dyDescent="0.2">
      <c r="A655" t="str">
        <f t="shared" si="11"/>
        <v/>
      </c>
    </row>
    <row r="656" spans="1:1" x14ac:dyDescent="0.2">
      <c r="A656" t="str">
        <f t="shared" si="11"/>
        <v/>
      </c>
    </row>
    <row r="657" spans="1:1" x14ac:dyDescent="0.2">
      <c r="A657" t="str">
        <f t="shared" si="11"/>
        <v/>
      </c>
    </row>
    <row r="658" spans="1:1" x14ac:dyDescent="0.2">
      <c r="A658" t="str">
        <f t="shared" si="11"/>
        <v/>
      </c>
    </row>
    <row r="659" spans="1:1" x14ac:dyDescent="0.2">
      <c r="A659" t="str">
        <f t="shared" si="11"/>
        <v/>
      </c>
    </row>
    <row r="660" spans="1:1" x14ac:dyDescent="0.2">
      <c r="A660" t="str">
        <f t="shared" si="11"/>
        <v/>
      </c>
    </row>
    <row r="661" spans="1:1" x14ac:dyDescent="0.2">
      <c r="A661" t="str">
        <f t="shared" si="11"/>
        <v/>
      </c>
    </row>
    <row r="662" spans="1:1" x14ac:dyDescent="0.2">
      <c r="A662" t="str">
        <f t="shared" si="11"/>
        <v/>
      </c>
    </row>
    <row r="663" spans="1:1" x14ac:dyDescent="0.2">
      <c r="A663" t="str">
        <f t="shared" si="11"/>
        <v/>
      </c>
    </row>
    <row r="664" spans="1:1" x14ac:dyDescent="0.2">
      <c r="A664" t="str">
        <f t="shared" si="11"/>
        <v/>
      </c>
    </row>
    <row r="665" spans="1:1" x14ac:dyDescent="0.2">
      <c r="A665" t="str">
        <f t="shared" si="11"/>
        <v/>
      </c>
    </row>
    <row r="666" spans="1:1" x14ac:dyDescent="0.2">
      <c r="A666" t="str">
        <f t="shared" si="11"/>
        <v/>
      </c>
    </row>
    <row r="667" spans="1:1" x14ac:dyDescent="0.2">
      <c r="A667" t="str">
        <f t="shared" si="11"/>
        <v/>
      </c>
    </row>
    <row r="668" spans="1:1" x14ac:dyDescent="0.2">
      <c r="A668" t="str">
        <f t="shared" si="11"/>
        <v/>
      </c>
    </row>
    <row r="669" spans="1:1" x14ac:dyDescent="0.2">
      <c r="A669" t="str">
        <f t="shared" si="11"/>
        <v/>
      </c>
    </row>
    <row r="670" spans="1:1" x14ac:dyDescent="0.2">
      <c r="A670" t="str">
        <f t="shared" si="11"/>
        <v/>
      </c>
    </row>
    <row r="671" spans="1:1" x14ac:dyDescent="0.2">
      <c r="A671" t="str">
        <f t="shared" si="11"/>
        <v/>
      </c>
    </row>
    <row r="672" spans="1:1" x14ac:dyDescent="0.2">
      <c r="A672" t="str">
        <f t="shared" ref="A672:A735" si="12">IF(F672="","",CONCATENATE(F672,"_",E672))</f>
        <v/>
      </c>
    </row>
    <row r="673" spans="1:1" x14ac:dyDescent="0.2">
      <c r="A673" t="str">
        <f t="shared" si="12"/>
        <v/>
      </c>
    </row>
    <row r="674" spans="1:1" x14ac:dyDescent="0.2">
      <c r="A674" t="str">
        <f t="shared" si="12"/>
        <v/>
      </c>
    </row>
    <row r="675" spans="1:1" x14ac:dyDescent="0.2">
      <c r="A675" t="str">
        <f t="shared" si="12"/>
        <v/>
      </c>
    </row>
    <row r="676" spans="1:1" x14ac:dyDescent="0.2">
      <c r="A676" t="str">
        <f t="shared" si="12"/>
        <v/>
      </c>
    </row>
    <row r="677" spans="1:1" x14ac:dyDescent="0.2">
      <c r="A677" t="str">
        <f t="shared" si="12"/>
        <v/>
      </c>
    </row>
    <row r="678" spans="1:1" x14ac:dyDescent="0.2">
      <c r="A678" t="str">
        <f t="shared" si="12"/>
        <v/>
      </c>
    </row>
    <row r="679" spans="1:1" x14ac:dyDescent="0.2">
      <c r="A679" t="str">
        <f t="shared" si="12"/>
        <v/>
      </c>
    </row>
    <row r="680" spans="1:1" x14ac:dyDescent="0.2">
      <c r="A680" t="str">
        <f t="shared" si="12"/>
        <v/>
      </c>
    </row>
    <row r="681" spans="1:1" x14ac:dyDescent="0.2">
      <c r="A681" t="str">
        <f t="shared" si="12"/>
        <v/>
      </c>
    </row>
    <row r="682" spans="1:1" x14ac:dyDescent="0.2">
      <c r="A682" t="str">
        <f t="shared" si="12"/>
        <v/>
      </c>
    </row>
    <row r="683" spans="1:1" x14ac:dyDescent="0.2">
      <c r="A683" t="str">
        <f t="shared" si="12"/>
        <v/>
      </c>
    </row>
    <row r="684" spans="1:1" x14ac:dyDescent="0.2">
      <c r="A684" t="str">
        <f t="shared" si="12"/>
        <v/>
      </c>
    </row>
    <row r="685" spans="1:1" x14ac:dyDescent="0.2">
      <c r="A685" t="str">
        <f t="shared" si="12"/>
        <v/>
      </c>
    </row>
    <row r="686" spans="1:1" x14ac:dyDescent="0.2">
      <c r="A686" t="str">
        <f t="shared" si="12"/>
        <v/>
      </c>
    </row>
    <row r="687" spans="1:1" x14ac:dyDescent="0.2">
      <c r="A687" t="str">
        <f t="shared" si="12"/>
        <v/>
      </c>
    </row>
    <row r="688" spans="1:1" x14ac:dyDescent="0.2">
      <c r="A688" t="str">
        <f t="shared" si="12"/>
        <v/>
      </c>
    </row>
    <row r="689" spans="1:1" x14ac:dyDescent="0.2">
      <c r="A689" t="str">
        <f t="shared" si="12"/>
        <v/>
      </c>
    </row>
    <row r="690" spans="1:1" x14ac:dyDescent="0.2">
      <c r="A690" t="str">
        <f t="shared" si="12"/>
        <v/>
      </c>
    </row>
    <row r="691" spans="1:1" x14ac:dyDescent="0.2">
      <c r="A691" t="str">
        <f t="shared" si="12"/>
        <v/>
      </c>
    </row>
    <row r="692" spans="1:1" x14ac:dyDescent="0.2">
      <c r="A692" t="str">
        <f t="shared" si="12"/>
        <v/>
      </c>
    </row>
    <row r="693" spans="1:1" x14ac:dyDescent="0.2">
      <c r="A693" t="str">
        <f t="shared" si="12"/>
        <v/>
      </c>
    </row>
    <row r="694" spans="1:1" x14ac:dyDescent="0.2">
      <c r="A694" t="str">
        <f t="shared" si="12"/>
        <v/>
      </c>
    </row>
    <row r="695" spans="1:1" x14ac:dyDescent="0.2">
      <c r="A695" t="str">
        <f t="shared" si="12"/>
        <v/>
      </c>
    </row>
    <row r="696" spans="1:1" x14ac:dyDescent="0.2">
      <c r="A696" t="str">
        <f t="shared" si="12"/>
        <v/>
      </c>
    </row>
    <row r="697" spans="1:1" x14ac:dyDescent="0.2">
      <c r="A697" t="str">
        <f t="shared" si="12"/>
        <v/>
      </c>
    </row>
    <row r="698" spans="1:1" x14ac:dyDescent="0.2">
      <c r="A698" t="str">
        <f t="shared" si="12"/>
        <v/>
      </c>
    </row>
    <row r="699" spans="1:1" x14ac:dyDescent="0.2">
      <c r="A699" t="str">
        <f t="shared" si="12"/>
        <v/>
      </c>
    </row>
    <row r="700" spans="1:1" x14ac:dyDescent="0.2">
      <c r="A700" t="str">
        <f t="shared" si="12"/>
        <v/>
      </c>
    </row>
    <row r="701" spans="1:1" x14ac:dyDescent="0.2">
      <c r="A701" t="str">
        <f t="shared" si="12"/>
        <v/>
      </c>
    </row>
    <row r="702" spans="1:1" x14ac:dyDescent="0.2">
      <c r="A702" t="str">
        <f t="shared" si="12"/>
        <v/>
      </c>
    </row>
    <row r="703" spans="1:1" x14ac:dyDescent="0.2">
      <c r="A703" t="str">
        <f t="shared" si="12"/>
        <v/>
      </c>
    </row>
    <row r="704" spans="1:1" x14ac:dyDescent="0.2">
      <c r="A704" t="str">
        <f t="shared" si="12"/>
        <v/>
      </c>
    </row>
    <row r="705" spans="1:1" x14ac:dyDescent="0.2">
      <c r="A705" t="str">
        <f t="shared" si="12"/>
        <v/>
      </c>
    </row>
    <row r="706" spans="1:1" x14ac:dyDescent="0.2">
      <c r="A706" t="str">
        <f t="shared" si="12"/>
        <v/>
      </c>
    </row>
    <row r="707" spans="1:1" x14ac:dyDescent="0.2">
      <c r="A707" t="str">
        <f t="shared" si="12"/>
        <v/>
      </c>
    </row>
    <row r="708" spans="1:1" x14ac:dyDescent="0.2">
      <c r="A708" t="str">
        <f t="shared" si="12"/>
        <v/>
      </c>
    </row>
    <row r="709" spans="1:1" x14ac:dyDescent="0.2">
      <c r="A709" t="str">
        <f t="shared" si="12"/>
        <v/>
      </c>
    </row>
    <row r="710" spans="1:1" x14ac:dyDescent="0.2">
      <c r="A710" t="str">
        <f t="shared" si="12"/>
        <v/>
      </c>
    </row>
    <row r="711" spans="1:1" x14ac:dyDescent="0.2">
      <c r="A711" t="str">
        <f t="shared" si="12"/>
        <v/>
      </c>
    </row>
    <row r="712" spans="1:1" x14ac:dyDescent="0.2">
      <c r="A712" t="str">
        <f t="shared" si="12"/>
        <v/>
      </c>
    </row>
    <row r="713" spans="1:1" x14ac:dyDescent="0.2">
      <c r="A713" t="str">
        <f t="shared" si="12"/>
        <v/>
      </c>
    </row>
    <row r="714" spans="1:1" x14ac:dyDescent="0.2">
      <c r="A714" t="str">
        <f t="shared" si="12"/>
        <v/>
      </c>
    </row>
    <row r="715" spans="1:1" x14ac:dyDescent="0.2">
      <c r="A715" t="str">
        <f t="shared" si="12"/>
        <v/>
      </c>
    </row>
    <row r="716" spans="1:1" x14ac:dyDescent="0.2">
      <c r="A716" t="str">
        <f t="shared" si="12"/>
        <v/>
      </c>
    </row>
    <row r="717" spans="1:1" x14ac:dyDescent="0.2">
      <c r="A717" t="str">
        <f t="shared" si="12"/>
        <v/>
      </c>
    </row>
    <row r="718" spans="1:1" x14ac:dyDescent="0.2">
      <c r="A718" t="str">
        <f t="shared" si="12"/>
        <v/>
      </c>
    </row>
    <row r="719" spans="1:1" x14ac:dyDescent="0.2">
      <c r="A719" t="str">
        <f t="shared" si="12"/>
        <v/>
      </c>
    </row>
    <row r="720" spans="1:1" x14ac:dyDescent="0.2">
      <c r="A720" t="str">
        <f t="shared" si="12"/>
        <v/>
      </c>
    </row>
    <row r="721" spans="1:1" x14ac:dyDescent="0.2">
      <c r="A721" t="str">
        <f t="shared" si="12"/>
        <v/>
      </c>
    </row>
    <row r="722" spans="1:1" x14ac:dyDescent="0.2">
      <c r="A722" t="str">
        <f t="shared" si="12"/>
        <v/>
      </c>
    </row>
    <row r="723" spans="1:1" x14ac:dyDescent="0.2">
      <c r="A723" t="str">
        <f t="shared" si="12"/>
        <v/>
      </c>
    </row>
    <row r="724" spans="1:1" x14ac:dyDescent="0.2">
      <c r="A724" t="str">
        <f t="shared" si="12"/>
        <v/>
      </c>
    </row>
    <row r="725" spans="1:1" x14ac:dyDescent="0.2">
      <c r="A725" t="str">
        <f t="shared" si="12"/>
        <v/>
      </c>
    </row>
    <row r="726" spans="1:1" x14ac:dyDescent="0.2">
      <c r="A726" t="str">
        <f t="shared" si="12"/>
        <v/>
      </c>
    </row>
    <row r="727" spans="1:1" x14ac:dyDescent="0.2">
      <c r="A727" t="str">
        <f t="shared" si="12"/>
        <v/>
      </c>
    </row>
    <row r="728" spans="1:1" x14ac:dyDescent="0.2">
      <c r="A728" t="str">
        <f t="shared" si="12"/>
        <v/>
      </c>
    </row>
    <row r="729" spans="1:1" x14ac:dyDescent="0.2">
      <c r="A729" t="str">
        <f t="shared" si="12"/>
        <v/>
      </c>
    </row>
    <row r="730" spans="1:1" x14ac:dyDescent="0.2">
      <c r="A730" t="str">
        <f t="shared" si="12"/>
        <v/>
      </c>
    </row>
    <row r="731" spans="1:1" x14ac:dyDescent="0.2">
      <c r="A731" t="str">
        <f t="shared" si="12"/>
        <v/>
      </c>
    </row>
    <row r="732" spans="1:1" x14ac:dyDescent="0.2">
      <c r="A732" t="str">
        <f t="shared" si="12"/>
        <v/>
      </c>
    </row>
    <row r="733" spans="1:1" x14ac:dyDescent="0.2">
      <c r="A733" t="str">
        <f t="shared" si="12"/>
        <v/>
      </c>
    </row>
    <row r="734" spans="1:1" x14ac:dyDescent="0.2">
      <c r="A734" t="str">
        <f t="shared" si="12"/>
        <v/>
      </c>
    </row>
    <row r="735" spans="1:1" x14ac:dyDescent="0.2">
      <c r="A735" t="str">
        <f t="shared" si="12"/>
        <v/>
      </c>
    </row>
    <row r="736" spans="1:1" x14ac:dyDescent="0.2">
      <c r="A736" t="str">
        <f t="shared" ref="A736:A799" si="13">IF(F736="","",CONCATENATE(F736,"_",E736))</f>
        <v/>
      </c>
    </row>
    <row r="737" spans="1:1" x14ac:dyDescent="0.2">
      <c r="A737" t="str">
        <f t="shared" si="13"/>
        <v/>
      </c>
    </row>
    <row r="738" spans="1:1" x14ac:dyDescent="0.2">
      <c r="A738" t="str">
        <f t="shared" si="13"/>
        <v/>
      </c>
    </row>
    <row r="739" spans="1:1" x14ac:dyDescent="0.2">
      <c r="A739" t="str">
        <f t="shared" si="13"/>
        <v/>
      </c>
    </row>
    <row r="740" spans="1:1" x14ac:dyDescent="0.2">
      <c r="A740" t="str">
        <f t="shared" si="13"/>
        <v/>
      </c>
    </row>
    <row r="741" spans="1:1" x14ac:dyDescent="0.2">
      <c r="A741" t="str">
        <f t="shared" si="13"/>
        <v/>
      </c>
    </row>
    <row r="742" spans="1:1" x14ac:dyDescent="0.2">
      <c r="A742" t="str">
        <f t="shared" si="13"/>
        <v/>
      </c>
    </row>
    <row r="743" spans="1:1" x14ac:dyDescent="0.2">
      <c r="A743" t="str">
        <f t="shared" si="13"/>
        <v/>
      </c>
    </row>
    <row r="744" spans="1:1" x14ac:dyDescent="0.2">
      <c r="A744" t="str">
        <f t="shared" si="13"/>
        <v/>
      </c>
    </row>
    <row r="745" spans="1:1" x14ac:dyDescent="0.2">
      <c r="A745" t="str">
        <f t="shared" si="13"/>
        <v/>
      </c>
    </row>
    <row r="746" spans="1:1" x14ac:dyDescent="0.2">
      <c r="A746" t="str">
        <f t="shared" si="13"/>
        <v/>
      </c>
    </row>
    <row r="747" spans="1:1" x14ac:dyDescent="0.2">
      <c r="A747" t="str">
        <f t="shared" si="13"/>
        <v/>
      </c>
    </row>
    <row r="748" spans="1:1" x14ac:dyDescent="0.2">
      <c r="A748" t="str">
        <f t="shared" si="13"/>
        <v/>
      </c>
    </row>
    <row r="749" spans="1:1" x14ac:dyDescent="0.2">
      <c r="A749" t="str">
        <f t="shared" si="13"/>
        <v/>
      </c>
    </row>
    <row r="750" spans="1:1" x14ac:dyDescent="0.2">
      <c r="A750" t="str">
        <f t="shared" si="13"/>
        <v/>
      </c>
    </row>
    <row r="751" spans="1:1" x14ac:dyDescent="0.2">
      <c r="A751" t="str">
        <f t="shared" si="13"/>
        <v/>
      </c>
    </row>
    <row r="752" spans="1:1" x14ac:dyDescent="0.2">
      <c r="A752" t="str">
        <f t="shared" si="13"/>
        <v/>
      </c>
    </row>
    <row r="753" spans="1:1" x14ac:dyDescent="0.2">
      <c r="A753" t="str">
        <f t="shared" si="13"/>
        <v/>
      </c>
    </row>
    <row r="754" spans="1:1" x14ac:dyDescent="0.2">
      <c r="A754" t="str">
        <f t="shared" si="13"/>
        <v/>
      </c>
    </row>
    <row r="755" spans="1:1" x14ac:dyDescent="0.2">
      <c r="A755" t="str">
        <f t="shared" si="13"/>
        <v/>
      </c>
    </row>
    <row r="756" spans="1:1" x14ac:dyDescent="0.2">
      <c r="A756" t="str">
        <f t="shared" si="13"/>
        <v/>
      </c>
    </row>
    <row r="757" spans="1:1" x14ac:dyDescent="0.2">
      <c r="A757" t="str">
        <f t="shared" si="13"/>
        <v/>
      </c>
    </row>
    <row r="758" spans="1:1" x14ac:dyDescent="0.2">
      <c r="A758" t="str">
        <f t="shared" si="13"/>
        <v/>
      </c>
    </row>
    <row r="759" spans="1:1" x14ac:dyDescent="0.2">
      <c r="A759" t="str">
        <f t="shared" si="13"/>
        <v/>
      </c>
    </row>
    <row r="760" spans="1:1" x14ac:dyDescent="0.2">
      <c r="A760" t="str">
        <f t="shared" si="13"/>
        <v/>
      </c>
    </row>
    <row r="761" spans="1:1" x14ac:dyDescent="0.2">
      <c r="A761" t="str">
        <f t="shared" si="13"/>
        <v/>
      </c>
    </row>
    <row r="762" spans="1:1" x14ac:dyDescent="0.2">
      <c r="A762" t="str">
        <f t="shared" si="13"/>
        <v/>
      </c>
    </row>
    <row r="763" spans="1:1" x14ac:dyDescent="0.2">
      <c r="A763" t="str">
        <f t="shared" si="13"/>
        <v/>
      </c>
    </row>
    <row r="764" spans="1:1" x14ac:dyDescent="0.2">
      <c r="A764" t="str">
        <f t="shared" si="13"/>
        <v/>
      </c>
    </row>
    <row r="765" spans="1:1" x14ac:dyDescent="0.2">
      <c r="A765" t="str">
        <f t="shared" si="13"/>
        <v/>
      </c>
    </row>
    <row r="766" spans="1:1" x14ac:dyDescent="0.2">
      <c r="A766" t="str">
        <f t="shared" si="13"/>
        <v/>
      </c>
    </row>
    <row r="767" spans="1:1" x14ac:dyDescent="0.2">
      <c r="A767" t="str">
        <f t="shared" si="13"/>
        <v/>
      </c>
    </row>
    <row r="768" spans="1:1" x14ac:dyDescent="0.2">
      <c r="A768" t="str">
        <f t="shared" si="13"/>
        <v/>
      </c>
    </row>
    <row r="769" spans="1:1" x14ac:dyDescent="0.2">
      <c r="A769" t="str">
        <f t="shared" si="13"/>
        <v/>
      </c>
    </row>
    <row r="770" spans="1:1" x14ac:dyDescent="0.2">
      <c r="A770" t="str">
        <f t="shared" si="13"/>
        <v/>
      </c>
    </row>
    <row r="771" spans="1:1" x14ac:dyDescent="0.2">
      <c r="A771" t="str">
        <f t="shared" si="13"/>
        <v/>
      </c>
    </row>
    <row r="772" spans="1:1" x14ac:dyDescent="0.2">
      <c r="A772" t="str">
        <f t="shared" si="13"/>
        <v/>
      </c>
    </row>
    <row r="773" spans="1:1" x14ac:dyDescent="0.2">
      <c r="A773" t="str">
        <f t="shared" si="13"/>
        <v/>
      </c>
    </row>
    <row r="774" spans="1:1" x14ac:dyDescent="0.2">
      <c r="A774" t="str">
        <f t="shared" si="13"/>
        <v/>
      </c>
    </row>
    <row r="775" spans="1:1" x14ac:dyDescent="0.2">
      <c r="A775" t="str">
        <f t="shared" si="13"/>
        <v/>
      </c>
    </row>
    <row r="776" spans="1:1" x14ac:dyDescent="0.2">
      <c r="A776" t="str">
        <f t="shared" si="13"/>
        <v/>
      </c>
    </row>
    <row r="777" spans="1:1" x14ac:dyDescent="0.2">
      <c r="A777" t="str">
        <f t="shared" si="13"/>
        <v/>
      </c>
    </row>
    <row r="778" spans="1:1" x14ac:dyDescent="0.2">
      <c r="A778" t="str">
        <f t="shared" si="13"/>
        <v/>
      </c>
    </row>
    <row r="779" spans="1:1" x14ac:dyDescent="0.2">
      <c r="A779" t="str">
        <f t="shared" si="13"/>
        <v/>
      </c>
    </row>
    <row r="780" spans="1:1" x14ac:dyDescent="0.2">
      <c r="A780" t="str">
        <f t="shared" si="13"/>
        <v/>
      </c>
    </row>
    <row r="781" spans="1:1" x14ac:dyDescent="0.2">
      <c r="A781" t="str">
        <f t="shared" si="13"/>
        <v/>
      </c>
    </row>
    <row r="782" spans="1:1" x14ac:dyDescent="0.2">
      <c r="A782" t="str">
        <f t="shared" si="13"/>
        <v/>
      </c>
    </row>
    <row r="783" spans="1:1" x14ac:dyDescent="0.2">
      <c r="A783" t="str">
        <f t="shared" si="13"/>
        <v/>
      </c>
    </row>
    <row r="784" spans="1:1" x14ac:dyDescent="0.2">
      <c r="A784" t="str">
        <f t="shared" si="13"/>
        <v/>
      </c>
    </row>
    <row r="785" spans="1:1" x14ac:dyDescent="0.2">
      <c r="A785" t="str">
        <f t="shared" si="13"/>
        <v/>
      </c>
    </row>
    <row r="786" spans="1:1" x14ac:dyDescent="0.2">
      <c r="A786" t="str">
        <f t="shared" si="13"/>
        <v/>
      </c>
    </row>
    <row r="787" spans="1:1" x14ac:dyDescent="0.2">
      <c r="A787" t="str">
        <f t="shared" si="13"/>
        <v/>
      </c>
    </row>
    <row r="788" spans="1:1" x14ac:dyDescent="0.2">
      <c r="A788" t="str">
        <f t="shared" si="13"/>
        <v/>
      </c>
    </row>
    <row r="789" spans="1:1" x14ac:dyDescent="0.2">
      <c r="A789" t="str">
        <f t="shared" si="13"/>
        <v/>
      </c>
    </row>
    <row r="790" spans="1:1" x14ac:dyDescent="0.2">
      <c r="A790" t="str">
        <f t="shared" si="13"/>
        <v/>
      </c>
    </row>
    <row r="791" spans="1:1" x14ac:dyDescent="0.2">
      <c r="A791" t="str">
        <f t="shared" si="13"/>
        <v/>
      </c>
    </row>
    <row r="792" spans="1:1" x14ac:dyDescent="0.2">
      <c r="A792" t="str">
        <f t="shared" si="13"/>
        <v/>
      </c>
    </row>
    <row r="793" spans="1:1" x14ac:dyDescent="0.2">
      <c r="A793" t="str">
        <f t="shared" si="13"/>
        <v/>
      </c>
    </row>
    <row r="794" spans="1:1" x14ac:dyDescent="0.2">
      <c r="A794" t="str">
        <f t="shared" si="13"/>
        <v/>
      </c>
    </row>
    <row r="795" spans="1:1" x14ac:dyDescent="0.2">
      <c r="A795" t="str">
        <f t="shared" si="13"/>
        <v/>
      </c>
    </row>
    <row r="796" spans="1:1" x14ac:dyDescent="0.2">
      <c r="A796" t="str">
        <f t="shared" si="13"/>
        <v/>
      </c>
    </row>
    <row r="797" spans="1:1" x14ac:dyDescent="0.2">
      <c r="A797" t="str">
        <f t="shared" si="13"/>
        <v/>
      </c>
    </row>
    <row r="798" spans="1:1" x14ac:dyDescent="0.2">
      <c r="A798" t="str">
        <f t="shared" si="13"/>
        <v/>
      </c>
    </row>
    <row r="799" spans="1:1" x14ac:dyDescent="0.2">
      <c r="A799" t="str">
        <f t="shared" si="13"/>
        <v/>
      </c>
    </row>
    <row r="800" spans="1:1" x14ac:dyDescent="0.2">
      <c r="A800" t="str">
        <f t="shared" ref="A800:A863" si="14">IF(F800="","",CONCATENATE(F800,"_",E800))</f>
        <v/>
      </c>
    </row>
    <row r="801" spans="1:1" x14ac:dyDescent="0.2">
      <c r="A801" t="str">
        <f t="shared" si="14"/>
        <v/>
      </c>
    </row>
    <row r="802" spans="1:1" x14ac:dyDescent="0.2">
      <c r="A802" t="str">
        <f t="shared" si="14"/>
        <v/>
      </c>
    </row>
    <row r="803" spans="1:1" x14ac:dyDescent="0.2">
      <c r="A803" t="str">
        <f t="shared" si="14"/>
        <v/>
      </c>
    </row>
    <row r="804" spans="1:1" x14ac:dyDescent="0.2">
      <c r="A804" t="str">
        <f t="shared" si="14"/>
        <v/>
      </c>
    </row>
    <row r="805" spans="1:1" x14ac:dyDescent="0.2">
      <c r="A805" t="str">
        <f t="shared" si="14"/>
        <v/>
      </c>
    </row>
    <row r="806" spans="1:1" x14ac:dyDescent="0.2">
      <c r="A806" t="str">
        <f t="shared" si="14"/>
        <v/>
      </c>
    </row>
    <row r="807" spans="1:1" x14ac:dyDescent="0.2">
      <c r="A807" t="str">
        <f t="shared" si="14"/>
        <v/>
      </c>
    </row>
    <row r="808" spans="1:1" x14ac:dyDescent="0.2">
      <c r="A808" t="str">
        <f t="shared" si="14"/>
        <v/>
      </c>
    </row>
    <row r="809" spans="1:1" x14ac:dyDescent="0.2">
      <c r="A809" t="str">
        <f t="shared" si="14"/>
        <v/>
      </c>
    </row>
    <row r="810" spans="1:1" x14ac:dyDescent="0.2">
      <c r="A810" t="str">
        <f t="shared" si="14"/>
        <v/>
      </c>
    </row>
    <row r="811" spans="1:1" x14ac:dyDescent="0.2">
      <c r="A811" t="str">
        <f t="shared" si="14"/>
        <v/>
      </c>
    </row>
    <row r="812" spans="1:1" x14ac:dyDescent="0.2">
      <c r="A812" t="str">
        <f t="shared" si="14"/>
        <v/>
      </c>
    </row>
    <row r="813" spans="1:1" x14ac:dyDescent="0.2">
      <c r="A813" t="str">
        <f t="shared" si="14"/>
        <v/>
      </c>
    </row>
    <row r="814" spans="1:1" x14ac:dyDescent="0.2">
      <c r="A814" t="str">
        <f t="shared" si="14"/>
        <v/>
      </c>
    </row>
    <row r="815" spans="1:1" x14ac:dyDescent="0.2">
      <c r="A815" t="str">
        <f t="shared" si="14"/>
        <v/>
      </c>
    </row>
    <row r="816" spans="1:1" x14ac:dyDescent="0.2">
      <c r="A816" t="str">
        <f t="shared" si="14"/>
        <v/>
      </c>
    </row>
    <row r="817" spans="1:1" x14ac:dyDescent="0.2">
      <c r="A817" t="str">
        <f t="shared" si="14"/>
        <v/>
      </c>
    </row>
    <row r="818" spans="1:1" x14ac:dyDescent="0.2">
      <c r="A818" t="str">
        <f t="shared" si="14"/>
        <v/>
      </c>
    </row>
    <row r="819" spans="1:1" x14ac:dyDescent="0.2">
      <c r="A819" t="str">
        <f t="shared" si="14"/>
        <v/>
      </c>
    </row>
    <row r="820" spans="1:1" x14ac:dyDescent="0.2">
      <c r="A820" t="str">
        <f t="shared" si="14"/>
        <v/>
      </c>
    </row>
    <row r="821" spans="1:1" x14ac:dyDescent="0.2">
      <c r="A821" t="str">
        <f t="shared" si="14"/>
        <v/>
      </c>
    </row>
    <row r="822" spans="1:1" x14ac:dyDescent="0.2">
      <c r="A822" t="str">
        <f t="shared" si="14"/>
        <v/>
      </c>
    </row>
    <row r="823" spans="1:1" x14ac:dyDescent="0.2">
      <c r="A823" t="str">
        <f t="shared" si="14"/>
        <v/>
      </c>
    </row>
    <row r="824" spans="1:1" x14ac:dyDescent="0.2">
      <c r="A824" t="str">
        <f t="shared" si="14"/>
        <v/>
      </c>
    </row>
    <row r="825" spans="1:1" x14ac:dyDescent="0.2">
      <c r="A825" t="str">
        <f t="shared" si="14"/>
        <v/>
      </c>
    </row>
    <row r="826" spans="1:1" x14ac:dyDescent="0.2">
      <c r="A826" t="str">
        <f t="shared" si="14"/>
        <v/>
      </c>
    </row>
    <row r="827" spans="1:1" x14ac:dyDescent="0.2">
      <c r="A827" t="str">
        <f t="shared" si="14"/>
        <v/>
      </c>
    </row>
    <row r="828" spans="1:1" x14ac:dyDescent="0.2">
      <c r="A828" t="str">
        <f t="shared" si="14"/>
        <v/>
      </c>
    </row>
    <row r="829" spans="1:1" x14ac:dyDescent="0.2">
      <c r="A829" t="str">
        <f t="shared" si="14"/>
        <v/>
      </c>
    </row>
    <row r="830" spans="1:1" x14ac:dyDescent="0.2">
      <c r="A830" t="str">
        <f t="shared" si="14"/>
        <v/>
      </c>
    </row>
    <row r="831" spans="1:1" x14ac:dyDescent="0.2">
      <c r="A831" t="str">
        <f t="shared" si="14"/>
        <v/>
      </c>
    </row>
    <row r="832" spans="1:1" x14ac:dyDescent="0.2">
      <c r="A832" t="str">
        <f t="shared" si="14"/>
        <v/>
      </c>
    </row>
    <row r="833" spans="1:1" x14ac:dyDescent="0.2">
      <c r="A833" t="str">
        <f t="shared" si="14"/>
        <v/>
      </c>
    </row>
    <row r="834" spans="1:1" x14ac:dyDescent="0.2">
      <c r="A834" t="str">
        <f t="shared" si="14"/>
        <v/>
      </c>
    </row>
    <row r="835" spans="1:1" x14ac:dyDescent="0.2">
      <c r="A835" t="str">
        <f t="shared" si="14"/>
        <v/>
      </c>
    </row>
    <row r="836" spans="1:1" x14ac:dyDescent="0.2">
      <c r="A836" t="str">
        <f t="shared" si="14"/>
        <v/>
      </c>
    </row>
    <row r="837" spans="1:1" x14ac:dyDescent="0.2">
      <c r="A837" t="str">
        <f t="shared" si="14"/>
        <v/>
      </c>
    </row>
    <row r="838" spans="1:1" x14ac:dyDescent="0.2">
      <c r="A838" t="str">
        <f t="shared" si="14"/>
        <v/>
      </c>
    </row>
    <row r="839" spans="1:1" x14ac:dyDescent="0.2">
      <c r="A839" t="str">
        <f t="shared" si="14"/>
        <v/>
      </c>
    </row>
    <row r="840" spans="1:1" x14ac:dyDescent="0.2">
      <c r="A840" t="str">
        <f t="shared" si="14"/>
        <v/>
      </c>
    </row>
    <row r="841" spans="1:1" x14ac:dyDescent="0.2">
      <c r="A841" t="str">
        <f t="shared" si="14"/>
        <v/>
      </c>
    </row>
    <row r="842" spans="1:1" x14ac:dyDescent="0.2">
      <c r="A842" t="str">
        <f t="shared" si="14"/>
        <v/>
      </c>
    </row>
    <row r="843" spans="1:1" x14ac:dyDescent="0.2">
      <c r="A843" t="str">
        <f t="shared" si="14"/>
        <v/>
      </c>
    </row>
    <row r="844" spans="1:1" x14ac:dyDescent="0.2">
      <c r="A844" t="str">
        <f t="shared" si="14"/>
        <v/>
      </c>
    </row>
    <row r="845" spans="1:1" x14ac:dyDescent="0.2">
      <c r="A845" t="str">
        <f t="shared" si="14"/>
        <v/>
      </c>
    </row>
    <row r="846" spans="1:1" x14ac:dyDescent="0.2">
      <c r="A846" t="str">
        <f t="shared" si="14"/>
        <v/>
      </c>
    </row>
    <row r="847" spans="1:1" x14ac:dyDescent="0.2">
      <c r="A847" t="str">
        <f t="shared" si="14"/>
        <v/>
      </c>
    </row>
    <row r="848" spans="1:1" x14ac:dyDescent="0.2">
      <c r="A848" t="str">
        <f t="shared" si="14"/>
        <v/>
      </c>
    </row>
    <row r="849" spans="1:1" x14ac:dyDescent="0.2">
      <c r="A849" t="str">
        <f t="shared" si="14"/>
        <v/>
      </c>
    </row>
    <row r="850" spans="1:1" x14ac:dyDescent="0.2">
      <c r="A850" t="str">
        <f t="shared" si="14"/>
        <v/>
      </c>
    </row>
    <row r="851" spans="1:1" x14ac:dyDescent="0.2">
      <c r="A851" t="str">
        <f t="shared" si="14"/>
        <v/>
      </c>
    </row>
    <row r="852" spans="1:1" x14ac:dyDescent="0.2">
      <c r="A852" t="str">
        <f t="shared" si="14"/>
        <v/>
      </c>
    </row>
    <row r="853" spans="1:1" x14ac:dyDescent="0.2">
      <c r="A853" t="str">
        <f t="shared" si="14"/>
        <v/>
      </c>
    </row>
    <row r="854" spans="1:1" x14ac:dyDescent="0.2">
      <c r="A854" t="str">
        <f t="shared" si="14"/>
        <v/>
      </c>
    </row>
    <row r="855" spans="1:1" x14ac:dyDescent="0.2">
      <c r="A855" t="str">
        <f t="shared" si="14"/>
        <v/>
      </c>
    </row>
    <row r="856" spans="1:1" x14ac:dyDescent="0.2">
      <c r="A856" t="str">
        <f t="shared" si="14"/>
        <v/>
      </c>
    </row>
    <row r="857" spans="1:1" x14ac:dyDescent="0.2">
      <c r="A857" t="str">
        <f t="shared" si="14"/>
        <v/>
      </c>
    </row>
    <row r="858" spans="1:1" x14ac:dyDescent="0.2">
      <c r="A858" t="str">
        <f t="shared" si="14"/>
        <v/>
      </c>
    </row>
    <row r="859" spans="1:1" x14ac:dyDescent="0.2">
      <c r="A859" t="str">
        <f t="shared" si="14"/>
        <v/>
      </c>
    </row>
    <row r="860" spans="1:1" x14ac:dyDescent="0.2">
      <c r="A860" t="str">
        <f t="shared" si="14"/>
        <v/>
      </c>
    </row>
    <row r="861" spans="1:1" x14ac:dyDescent="0.2">
      <c r="A861" t="str">
        <f t="shared" si="14"/>
        <v/>
      </c>
    </row>
    <row r="862" spans="1:1" x14ac:dyDescent="0.2">
      <c r="A862" t="str">
        <f t="shared" si="14"/>
        <v/>
      </c>
    </row>
    <row r="863" spans="1:1" x14ac:dyDescent="0.2">
      <c r="A863" t="str">
        <f t="shared" si="14"/>
        <v/>
      </c>
    </row>
    <row r="864" spans="1:1" x14ac:dyDescent="0.2">
      <c r="A864" t="str">
        <f t="shared" ref="A864:A927" si="15">IF(F864="","",CONCATENATE(F864,"_",E864))</f>
        <v/>
      </c>
    </row>
    <row r="865" spans="1:1" x14ac:dyDescent="0.2">
      <c r="A865" t="str">
        <f t="shared" si="15"/>
        <v/>
      </c>
    </row>
    <row r="866" spans="1:1" x14ac:dyDescent="0.2">
      <c r="A866" t="str">
        <f t="shared" si="15"/>
        <v/>
      </c>
    </row>
    <row r="867" spans="1:1" x14ac:dyDescent="0.2">
      <c r="A867" t="str">
        <f t="shared" si="15"/>
        <v/>
      </c>
    </row>
    <row r="868" spans="1:1" x14ac:dyDescent="0.2">
      <c r="A868" t="str">
        <f t="shared" si="15"/>
        <v/>
      </c>
    </row>
    <row r="869" spans="1:1" x14ac:dyDescent="0.2">
      <c r="A869" t="str">
        <f t="shared" si="15"/>
        <v/>
      </c>
    </row>
    <row r="870" spans="1:1" x14ac:dyDescent="0.2">
      <c r="A870" t="str">
        <f t="shared" si="15"/>
        <v/>
      </c>
    </row>
    <row r="871" spans="1:1" x14ac:dyDescent="0.2">
      <c r="A871" t="str">
        <f t="shared" si="15"/>
        <v/>
      </c>
    </row>
    <row r="872" spans="1:1" x14ac:dyDescent="0.2">
      <c r="A872" t="str">
        <f t="shared" si="15"/>
        <v/>
      </c>
    </row>
    <row r="873" spans="1:1" x14ac:dyDescent="0.2">
      <c r="A873" t="str">
        <f t="shared" si="15"/>
        <v/>
      </c>
    </row>
    <row r="874" spans="1:1" x14ac:dyDescent="0.2">
      <c r="A874" t="str">
        <f t="shared" si="15"/>
        <v/>
      </c>
    </row>
    <row r="875" spans="1:1" x14ac:dyDescent="0.2">
      <c r="A875" t="str">
        <f t="shared" si="15"/>
        <v/>
      </c>
    </row>
    <row r="876" spans="1:1" x14ac:dyDescent="0.2">
      <c r="A876" t="str">
        <f t="shared" si="15"/>
        <v/>
      </c>
    </row>
    <row r="877" spans="1:1" x14ac:dyDescent="0.2">
      <c r="A877" t="str">
        <f t="shared" si="15"/>
        <v/>
      </c>
    </row>
    <row r="878" spans="1:1" x14ac:dyDescent="0.2">
      <c r="A878" t="str">
        <f t="shared" si="15"/>
        <v/>
      </c>
    </row>
    <row r="879" spans="1:1" x14ac:dyDescent="0.2">
      <c r="A879" t="str">
        <f t="shared" si="15"/>
        <v/>
      </c>
    </row>
    <row r="880" spans="1:1" x14ac:dyDescent="0.2">
      <c r="A880" t="str">
        <f t="shared" si="15"/>
        <v/>
      </c>
    </row>
    <row r="881" spans="1:1" x14ac:dyDescent="0.2">
      <c r="A881" t="str">
        <f t="shared" si="15"/>
        <v/>
      </c>
    </row>
    <row r="882" spans="1:1" x14ac:dyDescent="0.2">
      <c r="A882" t="str">
        <f t="shared" si="15"/>
        <v/>
      </c>
    </row>
    <row r="883" spans="1:1" x14ac:dyDescent="0.2">
      <c r="A883" t="str">
        <f t="shared" si="15"/>
        <v/>
      </c>
    </row>
    <row r="884" spans="1:1" x14ac:dyDescent="0.2">
      <c r="A884" t="str">
        <f t="shared" si="15"/>
        <v/>
      </c>
    </row>
    <row r="885" spans="1:1" x14ac:dyDescent="0.2">
      <c r="A885" t="str">
        <f t="shared" si="15"/>
        <v/>
      </c>
    </row>
    <row r="886" spans="1:1" x14ac:dyDescent="0.2">
      <c r="A886" t="str">
        <f t="shared" si="15"/>
        <v/>
      </c>
    </row>
    <row r="887" spans="1:1" x14ac:dyDescent="0.2">
      <c r="A887" t="str">
        <f t="shared" si="15"/>
        <v/>
      </c>
    </row>
    <row r="888" spans="1:1" x14ac:dyDescent="0.2">
      <c r="A888" t="str">
        <f t="shared" si="15"/>
        <v/>
      </c>
    </row>
    <row r="889" spans="1:1" x14ac:dyDescent="0.2">
      <c r="A889" t="str">
        <f t="shared" si="15"/>
        <v/>
      </c>
    </row>
    <row r="890" spans="1:1" x14ac:dyDescent="0.2">
      <c r="A890" t="str">
        <f t="shared" si="15"/>
        <v/>
      </c>
    </row>
    <row r="891" spans="1:1" x14ac:dyDescent="0.2">
      <c r="A891" t="str">
        <f t="shared" si="15"/>
        <v/>
      </c>
    </row>
    <row r="892" spans="1:1" x14ac:dyDescent="0.2">
      <c r="A892" t="str">
        <f t="shared" si="15"/>
        <v/>
      </c>
    </row>
    <row r="893" spans="1:1" x14ac:dyDescent="0.2">
      <c r="A893" t="str">
        <f t="shared" si="15"/>
        <v/>
      </c>
    </row>
    <row r="894" spans="1:1" x14ac:dyDescent="0.2">
      <c r="A894" t="str">
        <f t="shared" si="15"/>
        <v/>
      </c>
    </row>
    <row r="895" spans="1:1" x14ac:dyDescent="0.2">
      <c r="A895" t="str">
        <f t="shared" si="15"/>
        <v/>
      </c>
    </row>
    <row r="896" spans="1:1" x14ac:dyDescent="0.2">
      <c r="A896" t="str">
        <f t="shared" si="15"/>
        <v/>
      </c>
    </row>
    <row r="897" spans="1:1" x14ac:dyDescent="0.2">
      <c r="A897" t="str">
        <f t="shared" si="15"/>
        <v/>
      </c>
    </row>
    <row r="898" spans="1:1" x14ac:dyDescent="0.2">
      <c r="A898" t="str">
        <f t="shared" si="15"/>
        <v/>
      </c>
    </row>
    <row r="899" spans="1:1" x14ac:dyDescent="0.2">
      <c r="A899" t="str">
        <f t="shared" si="15"/>
        <v/>
      </c>
    </row>
    <row r="900" spans="1:1" x14ac:dyDescent="0.2">
      <c r="A900" t="str">
        <f t="shared" si="15"/>
        <v/>
      </c>
    </row>
    <row r="901" spans="1:1" x14ac:dyDescent="0.2">
      <c r="A901" t="str">
        <f t="shared" si="15"/>
        <v/>
      </c>
    </row>
    <row r="902" spans="1:1" x14ac:dyDescent="0.2">
      <c r="A902" t="str">
        <f t="shared" si="15"/>
        <v/>
      </c>
    </row>
    <row r="903" spans="1:1" x14ac:dyDescent="0.2">
      <c r="A903" t="str">
        <f t="shared" si="15"/>
        <v/>
      </c>
    </row>
    <row r="904" spans="1:1" x14ac:dyDescent="0.2">
      <c r="A904" t="str">
        <f t="shared" si="15"/>
        <v/>
      </c>
    </row>
    <row r="905" spans="1:1" x14ac:dyDescent="0.2">
      <c r="A905" t="str">
        <f t="shared" si="15"/>
        <v/>
      </c>
    </row>
    <row r="906" spans="1:1" x14ac:dyDescent="0.2">
      <c r="A906" t="str">
        <f t="shared" si="15"/>
        <v/>
      </c>
    </row>
    <row r="907" spans="1:1" x14ac:dyDescent="0.2">
      <c r="A907" t="str">
        <f t="shared" si="15"/>
        <v/>
      </c>
    </row>
    <row r="908" spans="1:1" x14ac:dyDescent="0.2">
      <c r="A908" t="str">
        <f t="shared" si="15"/>
        <v/>
      </c>
    </row>
    <row r="909" spans="1:1" x14ac:dyDescent="0.2">
      <c r="A909" t="str">
        <f t="shared" si="15"/>
        <v/>
      </c>
    </row>
    <row r="910" spans="1:1" x14ac:dyDescent="0.2">
      <c r="A910" t="str">
        <f t="shared" si="15"/>
        <v/>
      </c>
    </row>
    <row r="911" spans="1:1" x14ac:dyDescent="0.2">
      <c r="A911" t="str">
        <f t="shared" si="15"/>
        <v/>
      </c>
    </row>
    <row r="912" spans="1:1" x14ac:dyDescent="0.2">
      <c r="A912" t="str">
        <f t="shared" si="15"/>
        <v/>
      </c>
    </row>
    <row r="913" spans="1:1" x14ac:dyDescent="0.2">
      <c r="A913" t="str">
        <f t="shared" si="15"/>
        <v/>
      </c>
    </row>
    <row r="914" spans="1:1" x14ac:dyDescent="0.2">
      <c r="A914" t="str">
        <f t="shared" si="15"/>
        <v/>
      </c>
    </row>
    <row r="915" spans="1:1" x14ac:dyDescent="0.2">
      <c r="A915" t="str">
        <f t="shared" si="15"/>
        <v/>
      </c>
    </row>
    <row r="916" spans="1:1" x14ac:dyDescent="0.2">
      <c r="A916" t="str">
        <f t="shared" si="15"/>
        <v/>
      </c>
    </row>
    <row r="917" spans="1:1" x14ac:dyDescent="0.2">
      <c r="A917" t="str">
        <f t="shared" si="15"/>
        <v/>
      </c>
    </row>
    <row r="918" spans="1:1" x14ac:dyDescent="0.2">
      <c r="A918" t="str">
        <f t="shared" si="15"/>
        <v/>
      </c>
    </row>
    <row r="919" spans="1:1" x14ac:dyDescent="0.2">
      <c r="A919" t="str">
        <f t="shared" si="15"/>
        <v/>
      </c>
    </row>
    <row r="920" spans="1:1" x14ac:dyDescent="0.2">
      <c r="A920" t="str">
        <f t="shared" si="15"/>
        <v/>
      </c>
    </row>
    <row r="921" spans="1:1" x14ac:dyDescent="0.2">
      <c r="A921" t="str">
        <f t="shared" si="15"/>
        <v/>
      </c>
    </row>
    <row r="922" spans="1:1" x14ac:dyDescent="0.2">
      <c r="A922" t="str">
        <f t="shared" si="15"/>
        <v/>
      </c>
    </row>
    <row r="923" spans="1:1" x14ac:dyDescent="0.2">
      <c r="A923" t="str">
        <f t="shared" si="15"/>
        <v/>
      </c>
    </row>
    <row r="924" spans="1:1" x14ac:dyDescent="0.2">
      <c r="A924" t="str">
        <f t="shared" si="15"/>
        <v/>
      </c>
    </row>
    <row r="925" spans="1:1" x14ac:dyDescent="0.2">
      <c r="A925" t="str">
        <f t="shared" si="15"/>
        <v/>
      </c>
    </row>
    <row r="926" spans="1:1" x14ac:dyDescent="0.2">
      <c r="A926" t="str">
        <f t="shared" si="15"/>
        <v/>
      </c>
    </row>
    <row r="927" spans="1:1" x14ac:dyDescent="0.2">
      <c r="A927" t="str">
        <f t="shared" si="15"/>
        <v/>
      </c>
    </row>
    <row r="928" spans="1:1" x14ac:dyDescent="0.2">
      <c r="A928" t="str">
        <f t="shared" ref="A928:A991" si="16">IF(F928="","",CONCATENATE(F928,"_",E928))</f>
        <v/>
      </c>
    </row>
    <row r="929" spans="1:1" x14ac:dyDescent="0.2">
      <c r="A929" t="str">
        <f t="shared" si="16"/>
        <v/>
      </c>
    </row>
    <row r="930" spans="1:1" x14ac:dyDescent="0.2">
      <c r="A930" t="str">
        <f t="shared" si="16"/>
        <v/>
      </c>
    </row>
    <row r="931" spans="1:1" x14ac:dyDescent="0.2">
      <c r="A931" t="str">
        <f t="shared" si="16"/>
        <v/>
      </c>
    </row>
    <row r="932" spans="1:1" x14ac:dyDescent="0.2">
      <c r="A932" t="str">
        <f t="shared" si="16"/>
        <v/>
      </c>
    </row>
    <row r="933" spans="1:1" x14ac:dyDescent="0.2">
      <c r="A933" t="str">
        <f t="shared" si="16"/>
        <v/>
      </c>
    </row>
    <row r="934" spans="1:1" x14ac:dyDescent="0.2">
      <c r="A934" t="str">
        <f t="shared" si="16"/>
        <v/>
      </c>
    </row>
    <row r="935" spans="1:1" x14ac:dyDescent="0.2">
      <c r="A935" t="str">
        <f t="shared" si="16"/>
        <v/>
      </c>
    </row>
    <row r="936" spans="1:1" x14ac:dyDescent="0.2">
      <c r="A936" t="str">
        <f t="shared" si="16"/>
        <v/>
      </c>
    </row>
    <row r="937" spans="1:1" x14ac:dyDescent="0.2">
      <c r="A937" t="str">
        <f t="shared" si="16"/>
        <v/>
      </c>
    </row>
    <row r="938" spans="1:1" x14ac:dyDescent="0.2">
      <c r="A938" t="str">
        <f t="shared" si="16"/>
        <v/>
      </c>
    </row>
    <row r="939" spans="1:1" x14ac:dyDescent="0.2">
      <c r="A939" t="str">
        <f t="shared" si="16"/>
        <v/>
      </c>
    </row>
    <row r="940" spans="1:1" x14ac:dyDescent="0.2">
      <c r="A940" t="str">
        <f t="shared" si="16"/>
        <v/>
      </c>
    </row>
    <row r="941" spans="1:1" x14ac:dyDescent="0.2">
      <c r="A941" t="str">
        <f t="shared" si="16"/>
        <v/>
      </c>
    </row>
    <row r="942" spans="1:1" x14ac:dyDescent="0.2">
      <c r="A942" t="str">
        <f t="shared" si="16"/>
        <v/>
      </c>
    </row>
    <row r="943" spans="1:1" x14ac:dyDescent="0.2">
      <c r="A943" t="str">
        <f t="shared" si="16"/>
        <v/>
      </c>
    </row>
    <row r="944" spans="1:1" x14ac:dyDescent="0.2">
      <c r="A944" t="str">
        <f t="shared" si="16"/>
        <v/>
      </c>
    </row>
    <row r="945" spans="1:1" x14ac:dyDescent="0.2">
      <c r="A945" t="str">
        <f t="shared" si="16"/>
        <v/>
      </c>
    </row>
    <row r="946" spans="1:1" x14ac:dyDescent="0.2">
      <c r="A946" t="str">
        <f t="shared" si="16"/>
        <v/>
      </c>
    </row>
    <row r="947" spans="1:1" x14ac:dyDescent="0.2">
      <c r="A947" t="str">
        <f t="shared" si="16"/>
        <v/>
      </c>
    </row>
    <row r="948" spans="1:1" x14ac:dyDescent="0.2">
      <c r="A948" t="str">
        <f t="shared" si="16"/>
        <v/>
      </c>
    </row>
    <row r="949" spans="1:1" x14ac:dyDescent="0.2">
      <c r="A949" t="str">
        <f t="shared" si="16"/>
        <v/>
      </c>
    </row>
    <row r="950" spans="1:1" x14ac:dyDescent="0.2">
      <c r="A950" t="str">
        <f t="shared" si="16"/>
        <v/>
      </c>
    </row>
    <row r="951" spans="1:1" x14ac:dyDescent="0.2">
      <c r="A951" t="str">
        <f t="shared" si="16"/>
        <v/>
      </c>
    </row>
    <row r="952" spans="1:1" x14ac:dyDescent="0.2">
      <c r="A952" t="str">
        <f t="shared" si="16"/>
        <v/>
      </c>
    </row>
    <row r="953" spans="1:1" x14ac:dyDescent="0.2">
      <c r="A953" t="str">
        <f t="shared" si="16"/>
        <v/>
      </c>
    </row>
    <row r="954" spans="1:1" x14ac:dyDescent="0.2">
      <c r="A954" t="str">
        <f t="shared" si="16"/>
        <v/>
      </c>
    </row>
    <row r="955" spans="1:1" x14ac:dyDescent="0.2">
      <c r="A955" t="str">
        <f t="shared" si="16"/>
        <v/>
      </c>
    </row>
    <row r="956" spans="1:1" x14ac:dyDescent="0.2">
      <c r="A956" t="str">
        <f t="shared" si="16"/>
        <v/>
      </c>
    </row>
    <row r="957" spans="1:1" x14ac:dyDescent="0.2">
      <c r="A957" t="str">
        <f t="shared" si="16"/>
        <v/>
      </c>
    </row>
    <row r="958" spans="1:1" x14ac:dyDescent="0.2">
      <c r="A958" t="str">
        <f t="shared" si="16"/>
        <v/>
      </c>
    </row>
    <row r="959" spans="1:1" x14ac:dyDescent="0.2">
      <c r="A959" t="str">
        <f t="shared" si="16"/>
        <v/>
      </c>
    </row>
    <row r="960" spans="1:1" x14ac:dyDescent="0.2">
      <c r="A960" t="str">
        <f t="shared" si="16"/>
        <v/>
      </c>
    </row>
    <row r="961" spans="1:1" x14ac:dyDescent="0.2">
      <c r="A961" t="str">
        <f t="shared" si="16"/>
        <v/>
      </c>
    </row>
    <row r="962" spans="1:1" x14ac:dyDescent="0.2">
      <c r="A962" t="str">
        <f t="shared" si="16"/>
        <v/>
      </c>
    </row>
    <row r="963" spans="1:1" x14ac:dyDescent="0.2">
      <c r="A963" t="str">
        <f t="shared" si="16"/>
        <v/>
      </c>
    </row>
    <row r="964" spans="1:1" x14ac:dyDescent="0.2">
      <c r="A964" t="str">
        <f t="shared" si="16"/>
        <v/>
      </c>
    </row>
    <row r="965" spans="1:1" x14ac:dyDescent="0.2">
      <c r="A965" t="str">
        <f t="shared" si="16"/>
        <v/>
      </c>
    </row>
    <row r="966" spans="1:1" x14ac:dyDescent="0.2">
      <c r="A966" t="str">
        <f t="shared" si="16"/>
        <v/>
      </c>
    </row>
    <row r="967" spans="1:1" x14ac:dyDescent="0.2">
      <c r="A967" t="str">
        <f t="shared" si="16"/>
        <v/>
      </c>
    </row>
    <row r="968" spans="1:1" x14ac:dyDescent="0.2">
      <c r="A968" t="str">
        <f t="shared" si="16"/>
        <v/>
      </c>
    </row>
    <row r="969" spans="1:1" x14ac:dyDescent="0.2">
      <c r="A969" t="str">
        <f t="shared" si="16"/>
        <v/>
      </c>
    </row>
    <row r="970" spans="1:1" x14ac:dyDescent="0.2">
      <c r="A970" t="str">
        <f t="shared" si="16"/>
        <v/>
      </c>
    </row>
    <row r="971" spans="1:1" x14ac:dyDescent="0.2">
      <c r="A971" t="str">
        <f t="shared" si="16"/>
        <v/>
      </c>
    </row>
    <row r="972" spans="1:1" x14ac:dyDescent="0.2">
      <c r="A972" t="str">
        <f t="shared" si="16"/>
        <v/>
      </c>
    </row>
    <row r="973" spans="1:1" x14ac:dyDescent="0.2">
      <c r="A973" t="str">
        <f t="shared" si="16"/>
        <v/>
      </c>
    </row>
    <row r="974" spans="1:1" x14ac:dyDescent="0.2">
      <c r="A974" t="str">
        <f t="shared" si="16"/>
        <v/>
      </c>
    </row>
    <row r="975" spans="1:1" x14ac:dyDescent="0.2">
      <c r="A975" t="str">
        <f t="shared" si="16"/>
        <v/>
      </c>
    </row>
    <row r="976" spans="1:1" x14ac:dyDescent="0.2">
      <c r="A976" t="str">
        <f t="shared" si="16"/>
        <v/>
      </c>
    </row>
    <row r="977" spans="1:1" x14ac:dyDescent="0.2">
      <c r="A977" t="str">
        <f t="shared" si="16"/>
        <v/>
      </c>
    </row>
    <row r="978" spans="1:1" x14ac:dyDescent="0.2">
      <c r="A978" t="str">
        <f t="shared" si="16"/>
        <v/>
      </c>
    </row>
    <row r="979" spans="1:1" x14ac:dyDescent="0.2">
      <c r="A979" t="str">
        <f t="shared" si="16"/>
        <v/>
      </c>
    </row>
    <row r="980" spans="1:1" x14ac:dyDescent="0.2">
      <c r="A980" t="str">
        <f t="shared" si="16"/>
        <v/>
      </c>
    </row>
    <row r="981" spans="1:1" x14ac:dyDescent="0.2">
      <c r="A981" t="str">
        <f t="shared" si="16"/>
        <v/>
      </c>
    </row>
    <row r="982" spans="1:1" x14ac:dyDescent="0.2">
      <c r="A982" t="str">
        <f t="shared" si="16"/>
        <v/>
      </c>
    </row>
    <row r="983" spans="1:1" x14ac:dyDescent="0.2">
      <c r="A983" t="str">
        <f t="shared" si="16"/>
        <v/>
      </c>
    </row>
    <row r="984" spans="1:1" x14ac:dyDescent="0.2">
      <c r="A984" t="str">
        <f t="shared" si="16"/>
        <v/>
      </c>
    </row>
    <row r="985" spans="1:1" x14ac:dyDescent="0.2">
      <c r="A985" t="str">
        <f t="shared" si="16"/>
        <v/>
      </c>
    </row>
    <row r="986" spans="1:1" x14ac:dyDescent="0.2">
      <c r="A986" t="str">
        <f t="shared" si="16"/>
        <v/>
      </c>
    </row>
    <row r="987" spans="1:1" x14ac:dyDescent="0.2">
      <c r="A987" t="str">
        <f t="shared" si="16"/>
        <v/>
      </c>
    </row>
    <row r="988" spans="1:1" x14ac:dyDescent="0.2">
      <c r="A988" t="str">
        <f t="shared" si="16"/>
        <v/>
      </c>
    </row>
    <row r="989" spans="1:1" x14ac:dyDescent="0.2">
      <c r="A989" t="str">
        <f t="shared" si="16"/>
        <v/>
      </c>
    </row>
    <row r="990" spans="1:1" x14ac:dyDescent="0.2">
      <c r="A990" t="str">
        <f t="shared" si="16"/>
        <v/>
      </c>
    </row>
    <row r="991" spans="1:1" x14ac:dyDescent="0.2">
      <c r="A991" t="str">
        <f t="shared" si="16"/>
        <v/>
      </c>
    </row>
    <row r="992" spans="1:1" x14ac:dyDescent="0.2">
      <c r="A992" t="str">
        <f t="shared" ref="A992:A1029" si="17">IF(F992="","",CONCATENATE(F992,"_",E992))</f>
        <v/>
      </c>
    </row>
    <row r="993" spans="1:1" x14ac:dyDescent="0.2">
      <c r="A993" t="str">
        <f t="shared" si="17"/>
        <v/>
      </c>
    </row>
    <row r="994" spans="1:1" x14ac:dyDescent="0.2">
      <c r="A994" t="str">
        <f t="shared" si="17"/>
        <v/>
      </c>
    </row>
    <row r="995" spans="1:1" x14ac:dyDescent="0.2">
      <c r="A995" t="str">
        <f t="shared" si="17"/>
        <v/>
      </c>
    </row>
    <row r="996" spans="1:1" x14ac:dyDescent="0.2">
      <c r="A996" t="str">
        <f t="shared" si="17"/>
        <v/>
      </c>
    </row>
    <row r="997" spans="1:1" x14ac:dyDescent="0.2">
      <c r="A997" t="str">
        <f t="shared" si="17"/>
        <v/>
      </c>
    </row>
    <row r="998" spans="1:1" x14ac:dyDescent="0.2">
      <c r="A998" t="str">
        <f t="shared" si="17"/>
        <v/>
      </c>
    </row>
    <row r="999" spans="1:1" x14ac:dyDescent="0.2">
      <c r="A999" t="str">
        <f t="shared" si="17"/>
        <v/>
      </c>
    </row>
    <row r="1000" spans="1:1" x14ac:dyDescent="0.2">
      <c r="A1000" t="str">
        <f t="shared" si="17"/>
        <v/>
      </c>
    </row>
    <row r="1001" spans="1:1" x14ac:dyDescent="0.2">
      <c r="A1001" t="str">
        <f t="shared" si="17"/>
        <v/>
      </c>
    </row>
    <row r="1002" spans="1:1" x14ac:dyDescent="0.2">
      <c r="A1002" t="str">
        <f t="shared" si="17"/>
        <v/>
      </c>
    </row>
    <row r="1003" spans="1:1" x14ac:dyDescent="0.2">
      <c r="A1003" t="str">
        <f t="shared" si="17"/>
        <v/>
      </c>
    </row>
    <row r="1004" spans="1:1" x14ac:dyDescent="0.2">
      <c r="A1004" t="str">
        <f t="shared" si="17"/>
        <v/>
      </c>
    </row>
    <row r="1005" spans="1:1" x14ac:dyDescent="0.2">
      <c r="A1005" t="str">
        <f t="shared" si="17"/>
        <v/>
      </c>
    </row>
    <row r="1006" spans="1:1" x14ac:dyDescent="0.2">
      <c r="A1006" t="str">
        <f t="shared" si="17"/>
        <v/>
      </c>
    </row>
    <row r="1007" spans="1:1" x14ac:dyDescent="0.2">
      <c r="A1007" t="str">
        <f t="shared" si="17"/>
        <v/>
      </c>
    </row>
    <row r="1008" spans="1:1" x14ac:dyDescent="0.2">
      <c r="A1008" t="str">
        <f t="shared" si="17"/>
        <v/>
      </c>
    </row>
    <row r="1009" spans="1:1" x14ac:dyDescent="0.2">
      <c r="A1009" t="str">
        <f t="shared" si="17"/>
        <v/>
      </c>
    </row>
    <row r="1010" spans="1:1" x14ac:dyDescent="0.2">
      <c r="A1010" t="str">
        <f t="shared" si="17"/>
        <v/>
      </c>
    </row>
    <row r="1011" spans="1:1" x14ac:dyDescent="0.2">
      <c r="A1011" t="str">
        <f t="shared" si="17"/>
        <v/>
      </c>
    </row>
    <row r="1012" spans="1:1" x14ac:dyDescent="0.2">
      <c r="A1012" t="str">
        <f t="shared" si="17"/>
        <v/>
      </c>
    </row>
    <row r="1013" spans="1:1" x14ac:dyDescent="0.2">
      <c r="A1013" t="str">
        <f t="shared" si="17"/>
        <v/>
      </c>
    </row>
    <row r="1014" spans="1:1" x14ac:dyDescent="0.2">
      <c r="A1014" t="str">
        <f t="shared" si="17"/>
        <v/>
      </c>
    </row>
    <row r="1015" spans="1:1" x14ac:dyDescent="0.2">
      <c r="A1015" t="str">
        <f t="shared" si="17"/>
        <v/>
      </c>
    </row>
    <row r="1016" spans="1:1" x14ac:dyDescent="0.2">
      <c r="A1016" t="str">
        <f t="shared" si="17"/>
        <v/>
      </c>
    </row>
    <row r="1017" spans="1:1" x14ac:dyDescent="0.2">
      <c r="A1017" t="str">
        <f t="shared" si="17"/>
        <v/>
      </c>
    </row>
    <row r="1018" spans="1:1" x14ac:dyDescent="0.2">
      <c r="A1018" t="str">
        <f t="shared" si="17"/>
        <v/>
      </c>
    </row>
    <row r="1019" spans="1:1" x14ac:dyDescent="0.2">
      <c r="A1019" t="str">
        <f t="shared" si="17"/>
        <v/>
      </c>
    </row>
    <row r="1020" spans="1:1" x14ac:dyDescent="0.2">
      <c r="A1020" t="str">
        <f t="shared" si="17"/>
        <v/>
      </c>
    </row>
    <row r="1021" spans="1:1" x14ac:dyDescent="0.2">
      <c r="A1021" t="str">
        <f t="shared" si="17"/>
        <v/>
      </c>
    </row>
    <row r="1022" spans="1:1" x14ac:dyDescent="0.2">
      <c r="A1022" t="str">
        <f t="shared" si="17"/>
        <v/>
      </c>
    </row>
    <row r="1023" spans="1:1" x14ac:dyDescent="0.2">
      <c r="A1023" t="str">
        <f t="shared" si="17"/>
        <v/>
      </c>
    </row>
    <row r="1024" spans="1:1" x14ac:dyDescent="0.2">
      <c r="A1024" t="str">
        <f t="shared" si="17"/>
        <v/>
      </c>
    </row>
    <row r="1025" spans="1:1" x14ac:dyDescent="0.2">
      <c r="A1025" t="str">
        <f t="shared" si="17"/>
        <v/>
      </c>
    </row>
    <row r="1026" spans="1:1" x14ac:dyDescent="0.2">
      <c r="A1026" t="str">
        <f t="shared" si="17"/>
        <v/>
      </c>
    </row>
    <row r="1027" spans="1:1" x14ac:dyDescent="0.2">
      <c r="A1027" t="str">
        <f t="shared" si="17"/>
        <v/>
      </c>
    </row>
    <row r="1028" spans="1:1" x14ac:dyDescent="0.2">
      <c r="A1028" t="str">
        <f t="shared" si="17"/>
        <v/>
      </c>
    </row>
    <row r="1029" spans="1:1" x14ac:dyDescent="0.2">
      <c r="A1029" t="str">
        <f t="shared" si="17"/>
        <v/>
      </c>
    </row>
  </sheetData>
  <autoFilter ref="A1:F545" xr:uid="{00000000-0009-0000-0000-000006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DGNB LCA Results</vt:lpstr>
      <vt:lpstr>Projekt Herstellung</vt:lpstr>
      <vt:lpstr>Projekt Betrieb</vt:lpstr>
      <vt:lpstr>Construction</vt:lpstr>
      <vt:lpstr>Use</vt:lpstr>
      <vt:lpstr>Ökobau.dat-Version</vt:lpstr>
      <vt:lpstr>Punkte_ENV1.1</vt:lpstr>
      <vt:lpstr>Punkte_PENE</vt:lpstr>
      <vt:lpstr>Punkte_PEGES</vt:lpstr>
      <vt:lpstr>Punkte_PEE</vt:lpstr>
      <vt:lpstr>GesamtCLP</vt:lpstr>
      <vt:lpstr>Sicherheitszuschlag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2020-04-24T15:11:11Z</dcterms:modified>
</cp:coreProperties>
</file>